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9320" windowHeight="1003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L21" i="1"/>
  <c r="B19"/>
  <c r="L29"/>
  <c r="M29" s="1"/>
  <c r="L28"/>
  <c r="M28" s="1"/>
  <c r="L27"/>
  <c r="M27" s="1"/>
  <c r="L26"/>
  <c r="M26" s="1"/>
  <c r="L25"/>
  <c r="M25" s="1"/>
  <c r="L24"/>
  <c r="M24" s="1"/>
  <c r="L23"/>
  <c r="M23" s="1"/>
  <c r="L22"/>
  <c r="M22" s="1"/>
  <c r="M21"/>
  <c r="B24"/>
  <c r="B25" s="1"/>
  <c r="B17" s="1"/>
  <c r="C17" s="1"/>
  <c r="B18"/>
  <c r="O21" l="1"/>
  <c r="N22"/>
  <c r="N23"/>
  <c r="N24"/>
  <c r="N25"/>
  <c r="N26"/>
  <c r="N27"/>
  <c r="N28"/>
  <c r="N29"/>
  <c r="O22"/>
  <c r="O23"/>
  <c r="O24"/>
  <c r="O25"/>
  <c r="O26"/>
  <c r="O27"/>
  <c r="O28"/>
  <c r="O29"/>
  <c r="P22"/>
  <c r="Q22" s="1"/>
  <c r="R22" s="1"/>
  <c r="P23"/>
  <c r="Q23" s="1"/>
  <c r="R23" s="1"/>
  <c r="P24"/>
  <c r="Q24" s="1"/>
  <c r="R24" s="1"/>
  <c r="P25"/>
  <c r="Q25" s="1"/>
  <c r="R25" s="1"/>
  <c r="P26"/>
  <c r="Q26" s="1"/>
  <c r="R26" s="1"/>
  <c r="P27"/>
  <c r="Q27" s="1"/>
  <c r="R27" s="1"/>
  <c r="P28"/>
  <c r="Q28" s="1"/>
  <c r="R28" s="1"/>
  <c r="P29"/>
  <c r="Q29" s="1"/>
  <c r="R29" s="1"/>
  <c r="N21"/>
  <c r="P21" s="1"/>
  <c r="Q21" s="1"/>
  <c r="R21" s="1"/>
  <c r="G20"/>
  <c r="B20"/>
  <c r="M17" s="1"/>
  <c r="B21"/>
  <c r="G23" s="1"/>
  <c r="B22" l="1"/>
  <c r="G17"/>
  <c r="I20" s="1"/>
  <c r="F9" s="1"/>
  <c r="G10" s="1"/>
  <c r="G11" s="1"/>
</calcChain>
</file>

<file path=xl/comments1.xml><?xml version="1.0" encoding="utf-8"?>
<comments xmlns="http://schemas.openxmlformats.org/spreadsheetml/2006/main">
  <authors>
    <author>jens</author>
  </authors>
  <commentList>
    <comment ref="B17" authorId="0">
      <text>
        <r>
          <rPr>
            <b/>
            <sz val="9"/>
            <color indexed="81"/>
            <rFont val="Tahoma"/>
            <family val="2"/>
          </rPr>
          <t>jens:</t>
        </r>
        <r>
          <rPr>
            <sz val="9"/>
            <color indexed="81"/>
            <rFont val="Tahoma"/>
            <family val="2"/>
          </rPr>
          <t xml:space="preserve">
radie av mantelarea + ventilarea</t>
        </r>
      </text>
    </comment>
    <comment ref="K20" authorId="0">
      <text>
        <r>
          <rPr>
            <b/>
            <sz val="9"/>
            <color indexed="81"/>
            <rFont val="Tahoma"/>
            <family val="2"/>
          </rPr>
          <t>jens:</t>
        </r>
        <r>
          <rPr>
            <sz val="9"/>
            <color indexed="81"/>
            <rFont val="Tahoma"/>
            <family val="2"/>
          </rPr>
          <t xml:space="preserve">
Valve diameter expressed in relation to bore size</t>
        </r>
      </text>
    </comment>
  </commentList>
</comments>
</file>

<file path=xl/sharedStrings.xml><?xml version="1.0" encoding="utf-8"?>
<sst xmlns="http://schemas.openxmlformats.org/spreadsheetml/2006/main" count="30" uniqueCount="27">
  <si>
    <t>a</t>
  </si>
  <si>
    <t>b</t>
  </si>
  <si>
    <t>c</t>
  </si>
  <si>
    <t>∆</t>
  </si>
  <si>
    <t>A =</t>
  </si>
  <si>
    <t>α</t>
  </si>
  <si>
    <t>Σ</t>
  </si>
  <si>
    <t>A=</t>
  </si>
  <si>
    <r>
      <t>mm</t>
    </r>
    <r>
      <rPr>
        <vertAlign val="superscript"/>
        <sz val="11"/>
        <color rgb="FFFF0000"/>
        <rFont val="Calibri"/>
        <family val="2"/>
        <scheme val="minor"/>
      </rPr>
      <t>2</t>
    </r>
  </si>
  <si>
    <t>RESULTAT</t>
  </si>
  <si>
    <t>area innanför borr</t>
  </si>
  <si>
    <t>area innanför - tallrik</t>
  </si>
  <si>
    <t>a = valve radius</t>
  </si>
  <si>
    <t>c = distance valve centre &amp; bore centre</t>
  </si>
  <si>
    <t>valvelift</t>
  </si>
  <si>
    <t>valve diameter</t>
  </si>
  <si>
    <t>bore</t>
  </si>
  <si>
    <t>distance centre-centre</t>
  </si>
  <si>
    <t>valve (mm)</t>
  </si>
  <si>
    <t>valve (bore)</t>
  </si>
  <si>
    <t>valve area + curtain area</t>
  </si>
  <si>
    <t>area/π</t>
  </si>
  <si>
    <t>b= bore radius</t>
  </si>
  <si>
    <r>
      <t>A (mm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</si>
  <si>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B (mm2)</t>
  </si>
  <si>
    <t>Note: All values except valvesize taken from the yellow cells to the left</t>
  </si>
  <si>
    <t>flow area (mm2)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</si>
</sst>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1"/>
      <color rgb="FFFF0000"/>
      <name val="Calibri"/>
      <family val="2"/>
      <scheme val="minor"/>
    </font>
    <font>
      <sz val="11"/>
      <color theme="0" tint="-0.24994659260841701"/>
      <name val="Calibri"/>
      <family val="2"/>
      <scheme val="minor"/>
    </font>
    <font>
      <sz val="11"/>
      <color theme="0" tint="-0.2499465926084170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Fill="1"/>
    <xf numFmtId="0" fontId="2" fillId="0" borderId="0" xfId="0" applyFont="1" applyFill="1"/>
    <xf numFmtId="0" fontId="0" fillId="0" borderId="0" xfId="0" applyFont="1" applyFill="1"/>
    <xf numFmtId="0" fontId="2" fillId="2" borderId="1" xfId="0" applyFont="1" applyFill="1" applyBorder="1"/>
    <xf numFmtId="0" fontId="0" fillId="2" borderId="2" xfId="0" applyFill="1" applyBorder="1"/>
    <xf numFmtId="0" fontId="2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3" fillId="3" borderId="7" xfId="0" applyFont="1" applyFill="1" applyBorder="1" applyAlignment="1">
      <alignment horizontal="right"/>
    </xf>
    <xf numFmtId="0" fontId="3" fillId="3" borderId="8" xfId="0" applyFont="1" applyFill="1" applyBorder="1"/>
    <xf numFmtId="0" fontId="3" fillId="3" borderId="9" xfId="0" applyFont="1" applyFill="1" applyBorder="1"/>
    <xf numFmtId="2" fontId="0" fillId="0" borderId="0" xfId="0" applyNumberFormat="1"/>
    <xf numFmtId="0" fontId="0" fillId="0" borderId="10" xfId="0" applyBorder="1"/>
    <xf numFmtId="2" fontId="0" fillId="0" borderId="10" xfId="0" applyNumberFormat="1" applyBorder="1"/>
    <xf numFmtId="0" fontId="0" fillId="0" borderId="0" xfId="0" applyFill="1" applyBorder="1"/>
    <xf numFmtId="0" fontId="0" fillId="0" borderId="0" xfId="0" applyBorder="1"/>
    <xf numFmtId="2" fontId="0" fillId="0" borderId="0" xfId="0" applyNumberFormat="1" applyBorder="1"/>
    <xf numFmtId="0" fontId="0" fillId="2" borderId="11" xfId="0" applyFill="1" applyBorder="1"/>
    <xf numFmtId="0" fontId="0" fillId="2" borderId="12" xfId="0" applyFill="1" applyBorder="1"/>
    <xf numFmtId="0" fontId="7" fillId="0" borderId="10" xfId="0" applyFont="1" applyBorder="1"/>
    <xf numFmtId="0" fontId="8" fillId="0" borderId="10" xfId="0" applyFont="1" applyFill="1" applyBorder="1"/>
    <xf numFmtId="0" fontId="7" fillId="0" borderId="10" xfId="0" applyFont="1" applyFill="1" applyBorder="1"/>
    <xf numFmtId="2" fontId="7" fillId="0" borderId="10" xfId="0" applyNumberFormat="1" applyFont="1" applyBorder="1"/>
    <xf numFmtId="0" fontId="0" fillId="0" borderId="10" xfId="0" applyNumberFormat="1" applyBorder="1"/>
    <xf numFmtId="2" fontId="0" fillId="4" borderId="10" xfId="0" applyNumberFormat="1" applyFill="1" applyBorder="1"/>
    <xf numFmtId="0" fontId="0" fillId="0" borderId="10" xfId="0" applyFill="1" applyBorder="1"/>
    <xf numFmtId="2" fontId="0" fillId="4" borderId="10" xfId="0" applyNumberForma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v-SE"/>
  <c:chart>
    <c:title>
      <c:layout/>
    </c:title>
    <c:plotArea>
      <c:layout/>
      <c:lineChart>
        <c:grouping val="standard"/>
        <c:ser>
          <c:idx val="1"/>
          <c:order val="0"/>
          <c:tx>
            <c:strRef>
              <c:f>Blad1!$R$20</c:f>
              <c:strCache>
                <c:ptCount val="1"/>
                <c:pt idx="0">
                  <c:v>flow area (mm2)</c:v>
                </c:pt>
              </c:strCache>
            </c:strRef>
          </c:tx>
          <c:marker>
            <c:symbol val="none"/>
          </c:marker>
          <c:cat>
            <c:numRef>
              <c:f>Blad1!$K$21:$K$29</c:f>
              <c:numCache>
                <c:formatCode>General</c:formatCode>
                <c:ptCount val="9"/>
                <c:pt idx="0">
                  <c:v>0.46</c:v>
                </c:pt>
                <c:pt idx="1">
                  <c:v>0.47</c:v>
                </c:pt>
                <c:pt idx="2">
                  <c:v>0.48</c:v>
                </c:pt>
                <c:pt idx="3">
                  <c:v>0.49</c:v>
                </c:pt>
                <c:pt idx="4">
                  <c:v>0.5</c:v>
                </c:pt>
                <c:pt idx="5">
                  <c:v>0.51</c:v>
                </c:pt>
                <c:pt idx="6">
                  <c:v>0.52</c:v>
                </c:pt>
                <c:pt idx="7">
                  <c:v>0.53</c:v>
                </c:pt>
                <c:pt idx="8">
                  <c:v>0.54</c:v>
                </c:pt>
              </c:numCache>
            </c:numRef>
          </c:cat>
          <c:val>
            <c:numRef>
              <c:f>Blad1!$R$21:$R$29</c:f>
              <c:numCache>
                <c:formatCode>0.00</c:formatCode>
                <c:ptCount val="9"/>
                <c:pt idx="0">
                  <c:v>1806.389751002343</c:v>
                </c:pt>
                <c:pt idx="1">
                  <c:v>1814.5687556122189</c:v>
                </c:pt>
                <c:pt idx="2">
                  <c:v>1820.8905606676285</c:v>
                </c:pt>
                <c:pt idx="3">
                  <c:v>1825.3763998303641</c:v>
                </c:pt>
                <c:pt idx="4">
                  <c:v>1828.0433014753742</c:v>
                </c:pt>
                <c:pt idx="5">
                  <c:v>1828.9047696381763</c:v>
                </c:pt>
                <c:pt idx="6">
                  <c:v>1827.9713167463417</c:v>
                </c:pt>
                <c:pt idx="7">
                  <c:v>1825.2508863153039</c:v>
                </c:pt>
                <c:pt idx="8">
                  <c:v>1820.749192427259</c:v>
                </c:pt>
              </c:numCache>
            </c:numRef>
          </c:val>
        </c:ser>
        <c:marker val="1"/>
        <c:axId val="71522944"/>
        <c:axId val="71545216"/>
      </c:lineChart>
      <c:catAx>
        <c:axId val="71522944"/>
        <c:scaling>
          <c:orientation val="minMax"/>
        </c:scaling>
        <c:axPos val="b"/>
        <c:numFmt formatCode="General" sourceLinked="1"/>
        <c:tickLblPos val="nextTo"/>
        <c:crossAx val="71545216"/>
        <c:crosses val="autoZero"/>
        <c:auto val="1"/>
        <c:lblAlgn val="ctr"/>
        <c:lblOffset val="100"/>
      </c:catAx>
      <c:valAx>
        <c:axId val="71545216"/>
        <c:scaling>
          <c:orientation val="minMax"/>
        </c:scaling>
        <c:axPos val="l"/>
        <c:majorGridlines/>
        <c:numFmt formatCode="0.00" sourceLinked="1"/>
        <c:tickLblPos val="nextTo"/>
        <c:crossAx val="71522944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9525</xdr:rowOff>
    </xdr:from>
    <xdr:to>
      <xdr:col>5</xdr:col>
      <xdr:colOff>352425</xdr:colOff>
      <xdr:row>8</xdr:row>
      <xdr:rowOff>180975</xdr:rowOff>
    </xdr:to>
    <xdr:pic>
      <xdr:nvPicPr>
        <xdr:cNvPr id="1025" name="Picture 1" descr=" A=a^2[tan^(-1)((a^2-b^2+c^2)/(4Delta))+cos^(-1)((b-c)/a)+tan^(-1)((b-c)/(sqrt((a+b-c)(a-b+c))))] &#10; -b^2[tan^(-1)((a^2-b^2-c^2)/(4Delta))+pi/2]+2Delta  &#10;=2Delta+a^2sec^(-1)((2ac)/(b^2-a^2-c^2))-b^2((2bc)/(b^2+c^2-a^2)),  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390525"/>
          <a:ext cx="4410075" cy="13239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371475</xdr:colOff>
      <xdr:row>9</xdr:row>
      <xdr:rowOff>47625</xdr:rowOff>
    </xdr:from>
    <xdr:to>
      <xdr:col>3</xdr:col>
      <xdr:colOff>104775</xdr:colOff>
      <xdr:row>10</xdr:row>
      <xdr:rowOff>85725</xdr:rowOff>
    </xdr:to>
    <xdr:pic>
      <xdr:nvPicPr>
        <xdr:cNvPr id="1026" name="Picture 2" descr=" Delta=1/4sqrt((a+b+c)(b+c-a)(c+a-b)(a+b-c)) 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475" y="1762125"/>
          <a:ext cx="2819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133350</xdr:colOff>
      <xdr:row>0</xdr:row>
      <xdr:rowOff>0</xdr:rowOff>
    </xdr:from>
    <xdr:to>
      <xdr:col>11</xdr:col>
      <xdr:colOff>95250</xdr:colOff>
      <xdr:row>9</xdr:row>
      <xdr:rowOff>142875</xdr:rowOff>
    </xdr:to>
    <xdr:pic>
      <xdr:nvPicPr>
        <xdr:cNvPr id="1027" name="Picture 3" descr="Lu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048250" y="0"/>
          <a:ext cx="2543175" cy="19050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190500</xdr:colOff>
      <xdr:row>4</xdr:row>
      <xdr:rowOff>95250</xdr:rowOff>
    </xdr:from>
    <xdr:to>
      <xdr:col>5</xdr:col>
      <xdr:colOff>161925</xdr:colOff>
      <xdr:row>4</xdr:row>
      <xdr:rowOff>95251</xdr:rowOff>
    </xdr:to>
    <xdr:cxnSp macro="">
      <xdr:nvCxnSpPr>
        <xdr:cNvPr id="6" name="Rak 5"/>
        <xdr:cNvCxnSpPr/>
      </xdr:nvCxnSpPr>
      <xdr:spPr>
        <a:xfrm flipV="1">
          <a:off x="3276600" y="857250"/>
          <a:ext cx="1190625" cy="1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66675</xdr:colOff>
      <xdr:row>4</xdr:row>
      <xdr:rowOff>104775</xdr:rowOff>
    </xdr:from>
    <xdr:ext cx="264688" cy="264560"/>
    <xdr:sp macro="" textlink="">
      <xdr:nvSpPr>
        <xdr:cNvPr id="9" name="textruta 8"/>
        <xdr:cNvSpPr txBox="1"/>
      </xdr:nvSpPr>
      <xdr:spPr>
        <a:xfrm>
          <a:off x="3762375" y="866775"/>
          <a:ext cx="26468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l-GR" sz="1100"/>
            <a:t>α</a:t>
          </a:r>
          <a:endParaRPr lang="sv-SE" sz="1100"/>
        </a:p>
      </xdr:txBody>
    </xdr:sp>
    <xdr:clientData/>
  </xdr:oneCellAnchor>
  <xdr:twoCellAnchor editAs="oneCell">
    <xdr:from>
      <xdr:col>3</xdr:col>
      <xdr:colOff>419105</xdr:colOff>
      <xdr:row>15</xdr:row>
      <xdr:rowOff>85725</xdr:rowOff>
    </xdr:from>
    <xdr:to>
      <xdr:col>5</xdr:col>
      <xdr:colOff>560075</xdr:colOff>
      <xdr:row>17</xdr:row>
      <xdr:rowOff>161925</xdr:rowOff>
    </xdr:to>
    <xdr:pic>
      <xdr:nvPicPr>
        <xdr:cNvPr id="11" name="Bildobjekt 10" descr="första ta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57455" y="2943225"/>
          <a:ext cx="1360170" cy="457200"/>
        </a:xfrm>
        <a:prstGeom prst="rect">
          <a:avLst/>
        </a:prstGeom>
      </xdr:spPr>
    </xdr:pic>
    <xdr:clientData/>
  </xdr:twoCellAnchor>
  <xdr:twoCellAnchor editAs="oneCell">
    <xdr:from>
      <xdr:col>4</xdr:col>
      <xdr:colOff>417000</xdr:colOff>
      <xdr:row>18</xdr:row>
      <xdr:rowOff>76200</xdr:rowOff>
    </xdr:from>
    <xdr:to>
      <xdr:col>6</xdr:col>
      <xdr:colOff>9525</xdr:colOff>
      <xdr:row>20</xdr:row>
      <xdr:rowOff>114300</xdr:rowOff>
    </xdr:to>
    <xdr:pic>
      <xdr:nvPicPr>
        <xdr:cNvPr id="12" name="Bildobjekt 11" descr="första cos.gif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4247"/>
        <a:stretch>
          <a:fillRect/>
        </a:stretch>
      </xdr:blipFill>
      <xdr:spPr>
        <a:xfrm>
          <a:off x="3064950" y="3505200"/>
          <a:ext cx="811725" cy="447675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21</xdr:row>
      <xdr:rowOff>66675</xdr:rowOff>
    </xdr:from>
    <xdr:to>
      <xdr:col>5</xdr:col>
      <xdr:colOff>594740</xdr:colOff>
      <xdr:row>23</xdr:row>
      <xdr:rowOff>152400</xdr:rowOff>
    </xdr:to>
    <xdr:pic>
      <xdr:nvPicPr>
        <xdr:cNvPr id="13" name="Bildobjekt 12" descr="andra tan.gif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r="3857"/>
        <a:stretch>
          <a:fillRect/>
        </a:stretch>
      </xdr:blipFill>
      <xdr:spPr>
        <a:xfrm>
          <a:off x="2057400" y="4067175"/>
          <a:ext cx="1794890" cy="466725"/>
        </a:xfrm>
        <a:prstGeom prst="rect">
          <a:avLst/>
        </a:prstGeom>
      </xdr:spPr>
    </xdr:pic>
    <xdr:clientData/>
  </xdr:twoCellAnchor>
  <xdr:twoCellAnchor>
    <xdr:from>
      <xdr:col>7</xdr:col>
      <xdr:colOff>57150</xdr:colOff>
      <xdr:row>15</xdr:row>
      <xdr:rowOff>142875</xdr:rowOff>
    </xdr:from>
    <xdr:to>
      <xdr:col>7</xdr:col>
      <xdr:colOff>276225</xdr:colOff>
      <xdr:row>23</xdr:row>
      <xdr:rowOff>66675</xdr:rowOff>
    </xdr:to>
    <xdr:sp macro="" textlink="">
      <xdr:nvSpPr>
        <xdr:cNvPr id="14" name="Höger klammerparentes 13"/>
        <xdr:cNvSpPr/>
      </xdr:nvSpPr>
      <xdr:spPr>
        <a:xfrm>
          <a:off x="4533900" y="3000375"/>
          <a:ext cx="219075" cy="14478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sv-SE" sz="1100"/>
        </a:p>
      </xdr:txBody>
    </xdr:sp>
    <xdr:clientData/>
  </xdr:twoCellAnchor>
  <xdr:twoCellAnchor editAs="oneCell">
    <xdr:from>
      <xdr:col>9</xdr:col>
      <xdr:colOff>285750</xdr:colOff>
      <xdr:row>15</xdr:row>
      <xdr:rowOff>66675</xdr:rowOff>
    </xdr:from>
    <xdr:to>
      <xdr:col>11</xdr:col>
      <xdr:colOff>666750</xdr:colOff>
      <xdr:row>17</xdr:row>
      <xdr:rowOff>142875</xdr:rowOff>
    </xdr:to>
    <xdr:pic>
      <xdr:nvPicPr>
        <xdr:cNvPr id="15" name="Bildobjekt 14" descr="tredje tan.gif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5981700" y="2924175"/>
          <a:ext cx="1485900" cy="457200"/>
        </a:xfrm>
        <a:prstGeom prst="rect">
          <a:avLst/>
        </a:prstGeom>
      </xdr:spPr>
    </xdr:pic>
    <xdr:clientData/>
  </xdr:twoCellAnchor>
  <xdr:twoCellAnchor>
    <xdr:from>
      <xdr:col>7</xdr:col>
      <xdr:colOff>228600</xdr:colOff>
      <xdr:row>5</xdr:row>
      <xdr:rowOff>0</xdr:rowOff>
    </xdr:from>
    <xdr:to>
      <xdr:col>7</xdr:col>
      <xdr:colOff>533400</xdr:colOff>
      <xdr:row>6</xdr:row>
      <xdr:rowOff>47625</xdr:rowOff>
    </xdr:to>
    <xdr:sp macro="" textlink="">
      <xdr:nvSpPr>
        <xdr:cNvPr id="16" name="textruta 15"/>
        <xdr:cNvSpPr txBox="1"/>
      </xdr:nvSpPr>
      <xdr:spPr>
        <a:xfrm>
          <a:off x="5753100" y="952500"/>
          <a:ext cx="304800" cy="2381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100"/>
            <a:t>A</a:t>
          </a:r>
        </a:p>
      </xdr:txBody>
    </xdr:sp>
    <xdr:clientData/>
  </xdr:twoCellAnchor>
  <xdr:oneCellAnchor>
    <xdr:from>
      <xdr:col>8</xdr:col>
      <xdr:colOff>342900</xdr:colOff>
      <xdr:row>4</xdr:row>
      <xdr:rowOff>180975</xdr:rowOff>
    </xdr:from>
    <xdr:ext cx="261418" cy="264560"/>
    <xdr:sp macro="" textlink="">
      <xdr:nvSpPr>
        <xdr:cNvPr id="18" name="textruta 17"/>
        <xdr:cNvSpPr txBox="1"/>
      </xdr:nvSpPr>
      <xdr:spPr>
        <a:xfrm>
          <a:off x="6477000" y="942975"/>
          <a:ext cx="2614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sv-SE" sz="1100"/>
            <a:t>B</a:t>
          </a:r>
        </a:p>
      </xdr:txBody>
    </xdr:sp>
    <xdr:clientData/>
  </xdr:oneCellAnchor>
  <xdr:twoCellAnchor>
    <xdr:from>
      <xdr:col>11</xdr:col>
      <xdr:colOff>152400</xdr:colOff>
      <xdr:row>0</xdr:row>
      <xdr:rowOff>0</xdr:rowOff>
    </xdr:from>
    <xdr:to>
      <xdr:col>17</xdr:col>
      <xdr:colOff>1438275</xdr:colOff>
      <xdr:row>14</xdr:row>
      <xdr:rowOff>133349</xdr:rowOff>
    </xdr:to>
    <xdr:graphicFrame macro="">
      <xdr:nvGraphicFramePr>
        <xdr:cNvPr id="19" name="Diagram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I38" sqref="I37:I38"/>
    </sheetView>
  </sheetViews>
  <sheetFormatPr defaultRowHeight="15"/>
  <cols>
    <col min="1" max="1" width="24.85546875" customWidth="1"/>
    <col min="2" max="3" width="10.7109375" bestFit="1" customWidth="1"/>
    <col min="8" max="8" width="5.5703125" customWidth="1"/>
    <col min="9" max="9" width="7.42578125" customWidth="1"/>
    <col min="10" max="10" width="4.85546875" customWidth="1"/>
    <col min="11" max="11" width="11.7109375" bestFit="1" customWidth="1"/>
    <col min="12" max="12" width="11" bestFit="1" customWidth="1"/>
    <col min="15" max="15" width="9" customWidth="1"/>
    <col min="16" max="16" width="12" bestFit="1" customWidth="1"/>
    <col min="18" max="18" width="25.85546875" bestFit="1" customWidth="1"/>
  </cols>
  <sheetData>
    <row r="1" spans="1:11">
      <c r="A1" s="1"/>
    </row>
    <row r="3" spans="1:11">
      <c r="K3" s="32"/>
    </row>
    <row r="4" spans="1:11">
      <c r="K4" s="32"/>
    </row>
    <row r="5" spans="1:11">
      <c r="K5" s="32"/>
    </row>
    <row r="6" spans="1:11">
      <c r="K6" s="32"/>
    </row>
    <row r="7" spans="1:11">
      <c r="K7" s="32"/>
    </row>
    <row r="8" spans="1:11" ht="15.75" thickBot="1">
      <c r="F8" t="s">
        <v>9</v>
      </c>
      <c r="K8" s="32"/>
    </row>
    <row r="9" spans="1:11" ht="18" thickBot="1">
      <c r="E9" s="13" t="s">
        <v>7</v>
      </c>
      <c r="F9" s="14">
        <f>((B17^2)*I20)-((B18^2)*M17)+(2*B20)</f>
        <v>347.26480075241921</v>
      </c>
      <c r="G9" s="15" t="s">
        <v>8</v>
      </c>
      <c r="K9" s="32"/>
    </row>
    <row r="10" spans="1:11">
      <c r="A10" s="1"/>
      <c r="E10" t="s">
        <v>10</v>
      </c>
      <c r="G10">
        <f>((B17^2)*PI())-F9</f>
        <v>3482.3366439735382</v>
      </c>
      <c r="K10" s="32"/>
    </row>
    <row r="11" spans="1:11">
      <c r="E11" t="s">
        <v>11</v>
      </c>
      <c r="G11">
        <f>((G10)-(((B27/2)^2)*PI()))</f>
        <v>1820.4341302245377</v>
      </c>
      <c r="K11" s="32"/>
    </row>
    <row r="12" spans="1:11">
      <c r="K12" s="32"/>
    </row>
    <row r="13" spans="1:11">
      <c r="A13" t="s">
        <v>12</v>
      </c>
    </row>
    <row r="14" spans="1:11">
      <c r="A14" t="s">
        <v>22</v>
      </c>
    </row>
    <row r="15" spans="1:11">
      <c r="A15" t="s">
        <v>13</v>
      </c>
    </row>
    <row r="17" spans="1:19">
      <c r="A17" s="4" t="s">
        <v>0</v>
      </c>
      <c r="B17" s="4">
        <f>SQRT(B25)</f>
        <v>34.914180500192181</v>
      </c>
      <c r="C17">
        <f>B17*2</f>
        <v>69.828361000384362</v>
      </c>
      <c r="G17">
        <f>ATAN(((B17^2)-(B18^2)+(B19^2))/(4*B20))</f>
        <v>-0.48293336952256011</v>
      </c>
      <c r="M17">
        <f>(ATAN((((B17^2)-(B18^2)-(B19^2)))/(4*B20)))+((PI())/2)</f>
        <v>0.6999679953132516</v>
      </c>
      <c r="R17" s="19"/>
    </row>
    <row r="18" spans="1:19">
      <c r="A18" s="4" t="s">
        <v>1</v>
      </c>
      <c r="B18" s="4">
        <f>B28/2</f>
        <v>48</v>
      </c>
      <c r="R18" s="16"/>
      <c r="S18" s="16"/>
    </row>
    <row r="19" spans="1:19">
      <c r="A19" s="4" t="s">
        <v>2</v>
      </c>
      <c r="B19" s="4">
        <f>B29</f>
        <v>20.5</v>
      </c>
      <c r="R19" s="16"/>
      <c r="S19" s="16"/>
    </row>
    <row r="20" spans="1:19" ht="17.25">
      <c r="A20" s="5" t="s">
        <v>3</v>
      </c>
      <c r="B20" s="4">
        <f>0.25*SQRT((B17+B18+B19)*(B18+B19-B17)*(B19+B17-B18)*(B17+B18-B19))</f>
        <v>316.94305851958643</v>
      </c>
      <c r="G20">
        <f>ACOS(((B18-B19)/B17))</f>
        <v>0.66381802875998253</v>
      </c>
      <c r="H20" s="3" t="s">
        <v>6</v>
      </c>
      <c r="I20">
        <f>SUM(G17:G23)</f>
        <v>1.0878629572723364</v>
      </c>
      <c r="K20" s="17" t="s">
        <v>19</v>
      </c>
      <c r="L20" s="17" t="s">
        <v>18</v>
      </c>
      <c r="M20" s="24" t="s">
        <v>0</v>
      </c>
      <c r="N20" s="25" t="s">
        <v>3</v>
      </c>
      <c r="O20" s="26" t="s">
        <v>5</v>
      </c>
      <c r="P20" s="30" t="s">
        <v>23</v>
      </c>
      <c r="Q20" s="30" t="s">
        <v>24</v>
      </c>
      <c r="R20" s="29" t="s">
        <v>26</v>
      </c>
      <c r="S20" s="16"/>
    </row>
    <row r="21" spans="1:19">
      <c r="A21" s="6" t="s">
        <v>5</v>
      </c>
      <c r="B21" s="4">
        <f>SQRT((B17+B18-B19)*(B17-B18+B19))</f>
        <v>21.511624764298951</v>
      </c>
      <c r="K21" s="17">
        <v>0.46</v>
      </c>
      <c r="L21" s="18">
        <f>K21*B28</f>
        <v>44.160000000000004</v>
      </c>
      <c r="M21" s="27">
        <f>SQRT((((((L21/2)^2)*PI())+((L21*PI()*B23)))/(PI())))</f>
        <v>33.910564725465726</v>
      </c>
      <c r="N21" s="24">
        <f>0.25*SQRT((M21+B18+B19)*(B18+B19-M21)*(B19+M21-B18)*(M21+B18-B19))</f>
        <v>295.22546495041729</v>
      </c>
      <c r="O21" s="24">
        <f>SQRT((M21+B18-B19)*(M21-B18+B19))</f>
        <v>19.841280200632227</v>
      </c>
      <c r="P21" s="17">
        <f>((M21^2)*((ATAN(((M21^2)-(B18^2)+(B19^2))/(4*N21)))+(ACOS(((B18-B19)/M21)))+(ATAN(((B18-B19)/O21))))-((B18^2)*((ATAN((((M21^2)-(B18^2)-(B19^2)))/(4*N21)))+((PI())/2)))+(2*N21))</f>
        <v>274.60122273553657</v>
      </c>
      <c r="Q21" s="17">
        <f>((M21^2)*PI())-P21</f>
        <v>3337.9991076734223</v>
      </c>
      <c r="R21" s="31">
        <f>((Q21)-(((L21/2)^2)*PI()))</f>
        <v>1806.389751002343</v>
      </c>
      <c r="S21" s="16"/>
    </row>
    <row r="22" spans="1:19">
      <c r="A22" t="s">
        <v>4</v>
      </c>
      <c r="B22">
        <f>((B17^2)*((ATAN(((B17^2-B18^2-B19^2)/(4*B20))))+(ACOS(((B18-B19)/B17)))+(ATAN(((B18-B19)/B21)))))-((B18^2)*((ATAN((((B17^2)-(B18^2)-(B19^2))/(4*B20))))+(PI()/2)))+(2*B20)</f>
        <v>-125.57915787570505</v>
      </c>
      <c r="K22" s="17">
        <v>0.47</v>
      </c>
      <c r="L22" s="18">
        <f>K22*B28</f>
        <v>45.12</v>
      </c>
      <c r="M22" s="27">
        <f>SQRT((((((L22/2)^2)*PI())+((L22*PI()*B23)))/(PI())))</f>
        <v>34.434773122528341</v>
      </c>
      <c r="N22" s="24">
        <f>0.25*SQRT((M22+B18+B19)*(B18+B19-M22)*(B19+M22-B18)*(M22+B18-B19))</f>
        <v>306.80335998680005</v>
      </c>
      <c r="O22" s="24">
        <f>SQRT((M22+B18-B19)*(M22-B18+B19))</f>
        <v>20.724468630100031</v>
      </c>
      <c r="P22" s="17">
        <f>((M22^2)*((ATAN(((M22^2)-(B18^2)+(B19^2))/(4*N22)))+(ACOS(((B18-B19)/M22)))+(ATAN(((B18-B19)/O22))))-((B18^2)*((ATAN((((M22^2)-(B18^2)-(B19^2)))/(4*N22)))+((PI())/2)))+(2*N22))</f>
        <v>311.66115233735422</v>
      </c>
      <c r="Q22" s="17">
        <f t="shared" ref="Q22:Q29" si="0">((M22^2)*PI())-P22</f>
        <v>3413.4936463902968</v>
      </c>
      <c r="R22" s="31">
        <f t="shared" ref="R22:R29" si="1">((Q22)-(((L22/2)^2)*PI()))</f>
        <v>1814.5687556122189</v>
      </c>
      <c r="S22" s="16"/>
    </row>
    <row r="23" spans="1:19">
      <c r="A23" s="22" t="s">
        <v>14</v>
      </c>
      <c r="B23" s="23">
        <v>15</v>
      </c>
      <c r="G23">
        <f>ATAN(((B18-B19)/B21))</f>
        <v>0.90697829803491403</v>
      </c>
      <c r="K23" s="17">
        <v>0.48</v>
      </c>
      <c r="L23" s="18">
        <f>K23*B28</f>
        <v>46.08</v>
      </c>
      <c r="M23" s="27">
        <f>SQRT((((((L23/2)^2)*PI())+((L23*PI()*B23)))/(PI())))</f>
        <v>34.957711595583596</v>
      </c>
      <c r="N23" s="24">
        <f>0.25*SQRT((M23+B18+B19)*(B18+B19-M23)*(B19+M23-B18)*(M23+B18-B19))</f>
        <v>317.8437040206868</v>
      </c>
      <c r="O23" s="24">
        <f>SQRT((M23+B18-B19)*(M23-B18+B19))</f>
        <v>21.582205633345257</v>
      </c>
      <c r="P23" s="17">
        <f>((M23^2)*((ATAN(((M23^2)-(B18^2)+(B19^2))/(4*N23)))+(ACOS(((B18-B19)/M23)))+(ATAN(((B18-B19)/O23))))-((B18^2)*((ATAN((((M23^2)-(B18^2)-(B19^2)))/(4*N23)))+((PI())/2)))+(2*N23))</f>
        <v>350.57828149363604</v>
      </c>
      <c r="Q23" s="17">
        <f t="shared" si="0"/>
        <v>3488.5786314474799</v>
      </c>
      <c r="R23" s="31">
        <f t="shared" si="1"/>
        <v>1820.8905606676285</v>
      </c>
      <c r="S23" s="16"/>
    </row>
    <row r="24" spans="1:19">
      <c r="A24" s="2" t="s">
        <v>20</v>
      </c>
      <c r="B24">
        <f>((((B27/2)^2)*PI())+((B27*PI()*B23)))</f>
        <v>3829.6014447259577</v>
      </c>
      <c r="K24" s="17">
        <v>0.49</v>
      </c>
      <c r="L24" s="18">
        <f>K24*B28</f>
        <v>47.04</v>
      </c>
      <c r="M24" s="27">
        <f>SQRT((((((L24/2)^2)*PI())+((L24*PI()*B23)))/(PI())))</f>
        <v>35.47943629766403</v>
      </c>
      <c r="N24" s="24">
        <f>0.25*SQRT((M24+B18+B19)*(B18+B19-M24)*(B19+M24-B18)*(M24+B18-B19))</f>
        <v>328.39116926006091</v>
      </c>
      <c r="O24" s="24">
        <f>SQRT((M24+B18-B19)*(M24-B18+B19))</f>
        <v>22.417412874816751</v>
      </c>
      <c r="P24" s="17">
        <f>((M24^2)*((ATAN(((M24^2)-(B18^2)+(B19^2))/(4*N24)))+(ACOS(((B18-B19)/M24)))+(ATAN(((B18-B19)/O24))))-((B18^2)*((ATAN((((M24^2)-(B18^2)-(B19^2)))/(4*N24)))+((PI())/2)))+(2*N24))</f>
        <v>391.33137654259372</v>
      </c>
      <c r="Q24" s="17">
        <f t="shared" si="0"/>
        <v>3563.275296506763</v>
      </c>
      <c r="R24" s="31">
        <f t="shared" si="1"/>
        <v>1825.3763998303641</v>
      </c>
      <c r="S24" s="16"/>
    </row>
    <row r="25" spans="1:19">
      <c r="A25" s="2" t="s">
        <v>21</v>
      </c>
      <c r="B25">
        <f>B24/PI()</f>
        <v>1219</v>
      </c>
      <c r="K25" s="17">
        <v>0.5</v>
      </c>
      <c r="L25" s="18">
        <f>K25*B28</f>
        <v>48</v>
      </c>
      <c r="M25" s="27">
        <f>SQRT((((((L25/2)^2)*PI())+((L25*PI()*B23)))/(PI())))</f>
        <v>36</v>
      </c>
      <c r="N25" s="24">
        <f>0.25*SQRT((M25+B18+B19)*(B18+B19-M25)*(B19+M25-B18)*(M25+B18-B19))</f>
        <v>338.48245315488657</v>
      </c>
      <c r="O25" s="24">
        <f>SQRT((M25+B18-B19)*(M25-B18+B19))</f>
        <v>23.232520310977886</v>
      </c>
      <c r="P25" s="17">
        <f>((M25^2)*((ATAN(((M25^2)-(B18^2)+(B19^2))/(4*N25)))+(ACOS(((B18-B19)/M25)))+(ATAN(((B18-B19)/O25))))-((B18^2)*((ATAN((((M25^2)-(B18^2)-(B19^2)))/(4*N25)))+((PI())/2)))+(2*N25))</f>
        <v>433.90340910927671</v>
      </c>
      <c r="Q25" s="17">
        <f t="shared" si="0"/>
        <v>3637.600669943095</v>
      </c>
      <c r="R25" s="31">
        <f t="shared" si="1"/>
        <v>1828.0433014753742</v>
      </c>
      <c r="S25" s="16"/>
    </row>
    <row r="26" spans="1:19" ht="15.75" thickBot="1">
      <c r="A26" s="2"/>
      <c r="K26" s="17">
        <v>0.51</v>
      </c>
      <c r="L26" s="18">
        <f>K26*B28</f>
        <v>48.96</v>
      </c>
      <c r="M26" s="27">
        <f>SQRT((((((L26/2)^2)*PI())+((L26*PI()*B23)))/(PI())))</f>
        <v>36.5194523507678</v>
      </c>
      <c r="N26" s="24">
        <f>0.25*SQRT((M26+B18+B19)*(B18+B19-M26)*(B19+M26-B18)*(M26+B18-B19))</f>
        <v>348.14799080849224</v>
      </c>
      <c r="O26" s="24">
        <f>SQRT((M26+B18-B19)*(M26-B18+B19))</f>
        <v>24.02957344606849</v>
      </c>
      <c r="P26" s="17">
        <f>((M26^2)*((ATAN(((M26^2)-(B18^2)+(B19^2))/(4*N26)))+(ACOS(((B18-B19)/M26)))+(ATAN(((B18-B19)/O26))))-((B18^2)*((ATAN((((M26^2)-(B18^2)-(B19^2)))/(4*N26)))+((PI())/2)))+(2*N26))</f>
        <v>478.2808751581664</v>
      </c>
      <c r="Q26" s="17">
        <f t="shared" si="0"/>
        <v>3711.5682557919931</v>
      </c>
      <c r="R26" s="31">
        <f t="shared" si="1"/>
        <v>1828.9047696381763</v>
      </c>
      <c r="S26" s="16"/>
    </row>
    <row r="27" spans="1:19">
      <c r="A27" s="7" t="s">
        <v>15</v>
      </c>
      <c r="B27" s="8">
        <v>46</v>
      </c>
      <c r="K27" s="17">
        <v>0.52</v>
      </c>
      <c r="L27" s="18">
        <f>K27*B28</f>
        <v>49.92</v>
      </c>
      <c r="M27" s="27">
        <f>SQRT((((((L27/2)^2)*PI())+((L27*PI()*B23)))/(PI())))</f>
        <v>37.037840109812016</v>
      </c>
      <c r="N27" s="24">
        <f>0.25*SQRT((M27+B18+B19)*(B18+B19-M27)*(B19+M27-B18)*(M27+B18-B19))</f>
        <v>357.41321720606521</v>
      </c>
      <c r="O27" s="24">
        <f>SQRT((M27+B18-B19)*(M27-B18+B19))</f>
        <v>24.81031237207625</v>
      </c>
      <c r="P27" s="28">
        <f>((M27^2)*((ATAN(((M27^2)-(B18^2)+(B19^2))/(4*N27)))+(ACOS(((B18-B19)/M27)))+(ATAN(((B18-B19)/O27))))-((B18^2)*((ATAN((((M27^2)-(B18^2)-(B19^2)))/(4*N27)))+((PI())/2)))+(2*N27))</f>
        <v>524.45326226169448</v>
      </c>
      <c r="Q27" s="17">
        <f t="shared" si="0"/>
        <v>3785.1885664810288</v>
      </c>
      <c r="R27" s="31">
        <f t="shared" si="1"/>
        <v>1827.9713167463417</v>
      </c>
      <c r="S27" s="16"/>
    </row>
    <row r="28" spans="1:19">
      <c r="A28" s="9" t="s">
        <v>16</v>
      </c>
      <c r="B28" s="10">
        <v>96</v>
      </c>
      <c r="K28" s="17">
        <v>0.53</v>
      </c>
      <c r="L28" s="18">
        <f>K28*B28</f>
        <v>50.88</v>
      </c>
      <c r="M28" s="27">
        <f>SQRT((((((L28/2)^2)*PI())+((L28*PI()*B23)))/(PI())))</f>
        <v>37.555207361962474</v>
      </c>
      <c r="N28" s="24">
        <f>0.25*SQRT((M28+B18+B19)*(B18+B19-M28)*(B19+M28-B18)*(M28+B18-B19))</f>
        <v>366.29951543946936</v>
      </c>
      <c r="O28" s="24">
        <f>SQRT((M28+B18-B19)*(M28-B18+B19))</f>
        <v>25.576231153162507</v>
      </c>
      <c r="P28" s="28">
        <f>((M28^2)*((ATAN(((M28^2)-(B18^2)+(B19^2))/(4*N28)))+(ACOS(((B18-B19)/M28)))+(ATAN(((B18-B19)/O28))))-((B18^2)*((ATAN((((M28^2)-(B18^2)-(B19^2)))/(4*N28)))+((PI())/2)))+(2*N28))</f>
        <v>572.41262690442727</v>
      </c>
      <c r="Q28" s="17">
        <f t="shared" si="0"/>
        <v>3858.4695455256351</v>
      </c>
      <c r="R28" s="31">
        <f t="shared" si="1"/>
        <v>1825.2508863153039</v>
      </c>
      <c r="S28" s="16"/>
    </row>
    <row r="29" spans="1:19" ht="15.75" thickBot="1">
      <c r="A29" s="11" t="s">
        <v>17</v>
      </c>
      <c r="B29" s="12">
        <v>20.5</v>
      </c>
      <c r="K29" s="17">
        <v>0.54</v>
      </c>
      <c r="L29" s="18">
        <f>K29*B28</f>
        <v>51.84</v>
      </c>
      <c r="M29" s="27">
        <f>SQRT((((((L29/2)^2)*PI())+((L29*PI()*B23)))/(PI())))</f>
        <v>38.071595711238579</v>
      </c>
      <c r="N29" s="24">
        <f>0.25*SQRT((M29+B18+B19)*(B18+B19-M29)*(B19+M29-B18)*(M29+B18-B19))</f>
        <v>374.82494092468022</v>
      </c>
      <c r="O29" s="24">
        <f>SQRT((M29+B18-B19)*(M29-B18+B19))</f>
        <v>26.328623207452377</v>
      </c>
      <c r="P29" s="28">
        <f>((M29^2)*((ATAN(((M29^2)-(B18^2)+(B19^2))/(4*N29)))+(ACOS(((B18-B19)/M29)))+(ATAN(((B18-B19)/O29))))-((B18^2)*((ATAN((((M29^2)-(B18^2)-(B19^2)))/(4*N29)))+((PI())/2)))+(2*N29))</f>
        <v>622.15325500416282</v>
      </c>
      <c r="Q29" s="17">
        <f t="shared" si="0"/>
        <v>3931.4169070080088</v>
      </c>
      <c r="R29" s="31">
        <f t="shared" si="1"/>
        <v>1820.749192427259</v>
      </c>
      <c r="S29" s="16"/>
    </row>
    <row r="30" spans="1:19">
      <c r="K30" t="s">
        <v>25</v>
      </c>
      <c r="O30" s="20"/>
      <c r="P30" s="21"/>
      <c r="Q30" s="21"/>
      <c r="R30" s="16"/>
      <c r="S30" s="16"/>
    </row>
    <row r="31" spans="1:19">
      <c r="O31" s="20"/>
      <c r="P31" s="21"/>
      <c r="Q31" s="21"/>
      <c r="R31" s="16"/>
      <c r="S31" s="16"/>
    </row>
    <row r="32" spans="1:19">
      <c r="O32" s="20"/>
      <c r="P32" s="21"/>
      <c r="Q32" s="21"/>
      <c r="R32" s="16"/>
      <c r="S32" s="16"/>
    </row>
    <row r="33" spans="15:19">
      <c r="O33" s="20"/>
      <c r="P33" s="21"/>
      <c r="Q33" s="21"/>
      <c r="R33" s="16"/>
      <c r="S33" s="16"/>
    </row>
    <row r="34" spans="15:19">
      <c r="P34" s="16"/>
      <c r="Q34" s="16"/>
    </row>
  </sheetData>
  <mergeCells count="1">
    <mergeCell ref="K3:K1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</dc:creator>
  <cp:lastModifiedBy>Erland</cp:lastModifiedBy>
  <dcterms:created xsi:type="dcterms:W3CDTF">2009-12-28T08:53:46Z</dcterms:created>
  <dcterms:modified xsi:type="dcterms:W3CDTF">2010-01-12T21:36:18Z</dcterms:modified>
</cp:coreProperties>
</file>