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75" windowHeight="11760"/>
  </bookViews>
  <sheets>
    <sheet name="Data" sheetId="2" r:id="rId1"/>
    <sheet name="Calculations and assumptions" sheetId="3" r:id="rId2"/>
  </sheets>
  <calcPr calcId="125725"/>
</workbook>
</file>

<file path=xl/calcChain.xml><?xml version="1.0" encoding="utf-8"?>
<calcChain xmlns="http://schemas.openxmlformats.org/spreadsheetml/2006/main">
  <c r="N26" i="2"/>
  <c r="N27"/>
  <c r="N28"/>
  <c r="N29"/>
  <c r="N30"/>
  <c r="N31"/>
  <c r="N32"/>
  <c r="N33"/>
  <c r="N25"/>
  <c r="A48"/>
  <c r="B48" s="1"/>
  <c r="A47"/>
  <c r="B47" s="1"/>
  <c r="A46"/>
  <c r="A45"/>
  <c r="B45" s="1"/>
  <c r="A44"/>
  <c r="B44" s="1"/>
  <c r="A43"/>
  <c r="B43" s="1"/>
  <c r="A42"/>
  <c r="B42" s="1"/>
  <c r="A41"/>
  <c r="B41" s="1"/>
  <c r="A40"/>
  <c r="B40" s="1"/>
  <c r="A39"/>
  <c r="B39" s="1"/>
  <c r="A58"/>
  <c r="B58" s="1"/>
  <c r="A57"/>
  <c r="B57" s="1"/>
  <c r="A56"/>
  <c r="A55"/>
  <c r="B55" s="1"/>
  <c r="A54"/>
  <c r="A53"/>
  <c r="B53" s="1"/>
  <c r="A52"/>
  <c r="B52" s="1"/>
  <c r="A51"/>
  <c r="B51" s="1"/>
  <c r="A50"/>
  <c r="B50" s="1"/>
  <c r="A49"/>
  <c r="B49" s="1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B11"/>
  <c r="Q27" s="1"/>
  <c r="O33"/>
  <c r="O32"/>
  <c r="O31"/>
  <c r="O30"/>
  <c r="O29"/>
  <c r="O28"/>
  <c r="O27"/>
  <c r="O26"/>
  <c r="O25"/>
  <c r="T33"/>
  <c r="T32"/>
  <c r="T31"/>
  <c r="T30"/>
  <c r="T29"/>
  <c r="T28"/>
  <c r="T27"/>
  <c r="T26"/>
  <c r="T25"/>
  <c r="S33"/>
  <c r="S32"/>
  <c r="S31"/>
  <c r="S30"/>
  <c r="S29"/>
  <c r="S28"/>
  <c r="S27"/>
  <c r="S26"/>
  <c r="S25"/>
  <c r="R33"/>
  <c r="R32"/>
  <c r="R31"/>
  <c r="R30"/>
  <c r="R29"/>
  <c r="R28"/>
  <c r="R27"/>
  <c r="R26"/>
  <c r="R25"/>
  <c r="B16"/>
  <c r="B14"/>
  <c r="B10"/>
  <c r="Q40" l="1"/>
  <c r="Q42"/>
  <c r="Q44"/>
  <c r="Q46"/>
  <c r="Q48"/>
  <c r="Q50"/>
  <c r="Q52"/>
  <c r="Q54"/>
  <c r="Q56"/>
  <c r="Q58"/>
  <c r="Q39"/>
  <c r="Q41"/>
  <c r="Q43"/>
  <c r="Q45"/>
  <c r="Q47"/>
  <c r="Q49"/>
  <c r="Q51"/>
  <c r="Q53"/>
  <c r="Q55"/>
  <c r="Q57"/>
  <c r="B15"/>
  <c r="B17" s="1"/>
  <c r="P27" s="1"/>
  <c r="Q26"/>
  <c r="Q25"/>
  <c r="A25" s="1"/>
  <c r="B25" s="1"/>
  <c r="C25" s="1"/>
  <c r="Q32"/>
  <c r="Q31"/>
  <c r="Q30"/>
  <c r="Q33"/>
  <c r="Q29"/>
  <c r="Q28"/>
  <c r="B56"/>
  <c r="B46"/>
  <c r="P26" l="1"/>
  <c r="P25"/>
  <c r="P33"/>
  <c r="P32"/>
  <c r="P31"/>
  <c r="P30"/>
  <c r="P28"/>
  <c r="P29"/>
  <c r="P55"/>
  <c r="P47"/>
  <c r="P39"/>
  <c r="P56"/>
  <c r="P48"/>
  <c r="P40"/>
  <c r="P57"/>
  <c r="P49"/>
  <c r="P41"/>
  <c r="P58"/>
  <c r="P50"/>
  <c r="P42"/>
  <c r="P51"/>
  <c r="P43"/>
  <c r="P52"/>
  <c r="P54"/>
  <c r="P44"/>
  <c r="P53"/>
  <c r="P45"/>
  <c r="P46"/>
  <c r="C58" l="1"/>
  <c r="I58" s="1"/>
  <c r="C57"/>
  <c r="I57" s="1"/>
  <c r="C55"/>
  <c r="I55" s="1"/>
  <c r="C54"/>
  <c r="C51"/>
  <c r="C50"/>
  <c r="C49"/>
  <c r="C48"/>
  <c r="C47"/>
  <c r="C46"/>
  <c r="C45"/>
  <c r="C43"/>
  <c r="C39"/>
  <c r="A26" l="1"/>
  <c r="B26" s="1"/>
  <c r="C26" s="1"/>
  <c r="I45"/>
  <c r="J45" s="1"/>
  <c r="K45" s="1"/>
  <c r="L45" s="1"/>
  <c r="I43"/>
  <c r="J43" s="1"/>
  <c r="K43" s="1"/>
  <c r="L43" s="1"/>
  <c r="I54"/>
  <c r="J54" s="1"/>
  <c r="K54" s="1"/>
  <c r="L54" s="1"/>
  <c r="I39"/>
  <c r="J39" s="1"/>
  <c r="K39" s="1"/>
  <c r="L39" s="1"/>
  <c r="I51"/>
  <c r="J51" s="1"/>
  <c r="K51" s="1"/>
  <c r="L51" s="1"/>
  <c r="I50"/>
  <c r="J50" s="1"/>
  <c r="K50" s="1"/>
  <c r="L50" s="1"/>
  <c r="I49"/>
  <c r="J49" s="1"/>
  <c r="K49" s="1"/>
  <c r="L49" s="1"/>
  <c r="I48"/>
  <c r="J48" s="1"/>
  <c r="K48" s="1"/>
  <c r="L48" s="1"/>
  <c r="I47"/>
  <c r="J47" s="1"/>
  <c r="K47" s="1"/>
  <c r="L47" s="1"/>
  <c r="I46"/>
  <c r="J46" s="1"/>
  <c r="K46" s="1"/>
  <c r="L46" s="1"/>
  <c r="G25"/>
  <c r="E25"/>
  <c r="D25"/>
  <c r="I25"/>
  <c r="J25" s="1"/>
  <c r="K25" s="1"/>
  <c r="L25" s="1"/>
  <c r="C41"/>
  <c r="C42"/>
  <c r="C52"/>
  <c r="C44"/>
  <c r="C40"/>
  <c r="C53"/>
  <c r="C56"/>
  <c r="I56" s="1"/>
  <c r="G46"/>
  <c r="G47"/>
  <c r="G55"/>
  <c r="G39"/>
  <c r="E46"/>
  <c r="G54"/>
  <c r="E54"/>
  <c r="J55"/>
  <c r="K55" s="1"/>
  <c r="L55" s="1"/>
  <c r="G43"/>
  <c r="G51"/>
  <c r="J58"/>
  <c r="K58" s="1"/>
  <c r="L58" s="1"/>
  <c r="J57"/>
  <c r="K57" s="1"/>
  <c r="L57" s="1"/>
  <c r="E57"/>
  <c r="G58"/>
  <c r="A27" l="1"/>
  <c r="B27" s="1"/>
  <c r="C27" s="1"/>
  <c r="F25"/>
  <c r="H25" s="1"/>
  <c r="M25" s="1"/>
  <c r="I40"/>
  <c r="J40" s="1"/>
  <c r="K40" s="1"/>
  <c r="L40" s="1"/>
  <c r="J56"/>
  <c r="K56" s="1"/>
  <c r="L56" s="1"/>
  <c r="I42"/>
  <c r="J42" s="1"/>
  <c r="K42" s="1"/>
  <c r="L42" s="1"/>
  <c r="I52"/>
  <c r="J52" s="1"/>
  <c r="K52" s="1"/>
  <c r="L52" s="1"/>
  <c r="I44"/>
  <c r="J44" s="1"/>
  <c r="K44" s="1"/>
  <c r="L44" s="1"/>
  <c r="I53"/>
  <c r="J53" s="1"/>
  <c r="K53" s="1"/>
  <c r="L53" s="1"/>
  <c r="I41"/>
  <c r="J41" s="1"/>
  <c r="K41" s="1"/>
  <c r="L41" s="1"/>
  <c r="D56"/>
  <c r="E48"/>
  <c r="D54"/>
  <c r="D48"/>
  <c r="D55"/>
  <c r="G50"/>
  <c r="G56"/>
  <c r="G49"/>
  <c r="D39"/>
  <c r="G44"/>
  <c r="E39"/>
  <c r="D52"/>
  <c r="G40"/>
  <c r="E55"/>
  <c r="G45"/>
  <c r="E56"/>
  <c r="D46"/>
  <c r="D51"/>
  <c r="E44"/>
  <c r="G52"/>
  <c r="E47"/>
  <c r="G48"/>
  <c r="E52"/>
  <c r="D44"/>
  <c r="G53"/>
  <c r="D47"/>
  <c r="D45"/>
  <c r="D42"/>
  <c r="E42"/>
  <c r="E41"/>
  <c r="D41"/>
  <c r="D53"/>
  <c r="E58"/>
  <c r="D58"/>
  <c r="E50"/>
  <c r="D50"/>
  <c r="E43"/>
  <c r="E40"/>
  <c r="E51"/>
  <c r="E49"/>
  <c r="D49"/>
  <c r="D40"/>
  <c r="G41"/>
  <c r="E53"/>
  <c r="G57"/>
  <c r="D57"/>
  <c r="F57" s="1"/>
  <c r="E45"/>
  <c r="G42"/>
  <c r="D43"/>
  <c r="F42" l="1"/>
  <c r="A28"/>
  <c r="B28" s="1"/>
  <c r="C28" s="1"/>
  <c r="I26"/>
  <c r="J26" s="1"/>
  <c r="K26" s="1"/>
  <c r="L26" s="1"/>
  <c r="G26"/>
  <c r="D26"/>
  <c r="E26"/>
  <c r="F44"/>
  <c r="H44" s="1"/>
  <c r="M44" s="1"/>
  <c r="F39"/>
  <c r="H39" s="1"/>
  <c r="M39" s="1"/>
  <c r="F41"/>
  <c r="H41" s="1"/>
  <c r="M41" s="1"/>
  <c r="F56"/>
  <c r="H56" s="1"/>
  <c r="M56" s="1"/>
  <c r="F53"/>
  <c r="H53" s="1"/>
  <c r="M53" s="1"/>
  <c r="F48"/>
  <c r="H48" s="1"/>
  <c r="M48" s="1"/>
  <c r="F43"/>
  <c r="H43" s="1"/>
  <c r="M43" s="1"/>
  <c r="F40"/>
  <c r="H40" s="1"/>
  <c r="M40" s="1"/>
  <c r="F58"/>
  <c r="H58" s="1"/>
  <c r="M58" s="1"/>
  <c r="F47"/>
  <c r="H47" s="1"/>
  <c r="M47" s="1"/>
  <c r="F55"/>
  <c r="F52"/>
  <c r="H52" s="1"/>
  <c r="M52" s="1"/>
  <c r="F49"/>
  <c r="H49" s="1"/>
  <c r="M49" s="1"/>
  <c r="F51"/>
  <c r="H51" s="1"/>
  <c r="M51" s="1"/>
  <c r="F46"/>
  <c r="H46" s="1"/>
  <c r="F45"/>
  <c r="F50"/>
  <c r="H50" s="1"/>
  <c r="M50" s="1"/>
  <c r="F54"/>
  <c r="H54" s="1"/>
  <c r="H55"/>
  <c r="M55" s="1"/>
  <c r="H45"/>
  <c r="M45" s="1"/>
  <c r="H57"/>
  <c r="M57" s="1"/>
  <c r="H42"/>
  <c r="M42" s="1"/>
  <c r="M54" l="1"/>
  <c r="N54" s="1"/>
  <c r="M46"/>
  <c r="N46" s="1"/>
  <c r="F26"/>
  <c r="H26" s="1"/>
  <c r="M26" s="1"/>
  <c r="A29"/>
  <c r="B29" s="1"/>
  <c r="C29" s="1"/>
  <c r="I27"/>
  <c r="J27" s="1"/>
  <c r="K27" s="1"/>
  <c r="L27" s="1"/>
  <c r="G27"/>
  <c r="E27"/>
  <c r="D27"/>
  <c r="N50"/>
  <c r="N39"/>
  <c r="N45"/>
  <c r="N48"/>
  <c r="N52"/>
  <c r="N56"/>
  <c r="N49"/>
  <c r="N43"/>
  <c r="N51"/>
  <c r="N47"/>
  <c r="N58"/>
  <c r="N57"/>
  <c r="N55"/>
  <c r="N42"/>
  <c r="N44"/>
  <c r="N41"/>
  <c r="N40"/>
  <c r="N53"/>
  <c r="F27" l="1"/>
  <c r="H27" s="1"/>
  <c r="M27" s="1"/>
  <c r="A30"/>
  <c r="B30" s="1"/>
  <c r="C30" s="1"/>
  <c r="G28"/>
  <c r="I28"/>
  <c r="J28" s="1"/>
  <c r="K28" s="1"/>
  <c r="L28" s="1"/>
  <c r="D28"/>
  <c r="E28"/>
  <c r="D29" l="1"/>
  <c r="I29"/>
  <c r="J29" s="1"/>
  <c r="K29" s="1"/>
  <c r="L29" s="1"/>
  <c r="E29"/>
  <c r="G29"/>
  <c r="A31"/>
  <c r="B31" s="1"/>
  <c r="C31" s="1"/>
  <c r="F28"/>
  <c r="H28" s="1"/>
  <c r="M28" s="1"/>
  <c r="F29" l="1"/>
  <c r="H29" s="1"/>
  <c r="M29" s="1"/>
  <c r="A32"/>
  <c r="B32" s="1"/>
  <c r="C32" s="1"/>
  <c r="I30"/>
  <c r="J30" s="1"/>
  <c r="K30" s="1"/>
  <c r="L30" s="1"/>
  <c r="D30"/>
  <c r="G30"/>
  <c r="E30"/>
  <c r="F30" l="1"/>
  <c r="H30" s="1"/>
  <c r="M30" s="1"/>
  <c r="A33"/>
  <c r="B33" s="1"/>
  <c r="C33" s="1"/>
  <c r="D31"/>
  <c r="G31"/>
  <c r="E31"/>
  <c r="I31"/>
  <c r="J31" s="1"/>
  <c r="K31" s="1"/>
  <c r="L31" s="1"/>
  <c r="F31" l="1"/>
  <c r="H31" s="1"/>
  <c r="M31" s="1"/>
  <c r="E33"/>
  <c r="D33"/>
  <c r="I33"/>
  <c r="J33" s="1"/>
  <c r="K33" s="1"/>
  <c r="L33" s="1"/>
  <c r="G33"/>
  <c r="D32"/>
  <c r="E32"/>
  <c r="I32"/>
  <c r="J32" s="1"/>
  <c r="K32" s="1"/>
  <c r="L32" s="1"/>
  <c r="G32"/>
  <c r="F32" l="1"/>
  <c r="F33"/>
  <c r="H33" s="1"/>
  <c r="M33" s="1"/>
  <c r="H32"/>
  <c r="M32" s="1"/>
</calcChain>
</file>

<file path=xl/comments1.xml><?xml version="1.0" encoding="utf-8"?>
<comments xmlns="http://schemas.openxmlformats.org/spreadsheetml/2006/main">
  <authors>
    <author>jens</author>
    <author>Jens</author>
  </authors>
  <commentList>
    <comment ref="A24" authorId="0">
      <text>
        <r>
          <rPr>
            <b/>
            <sz val="9"/>
            <color indexed="81"/>
            <rFont val="Tahoma"/>
            <family val="2"/>
          </rPr>
          <t>jens:</t>
        </r>
        <r>
          <rPr>
            <sz val="9"/>
            <color indexed="81"/>
            <rFont val="Tahoma"/>
            <family val="2"/>
          </rPr>
          <t xml:space="preserve">
Valve diameter expressed in relation to bore size</t>
        </r>
      </text>
    </comment>
    <comment ref="B24" authorId="1">
      <text>
        <r>
          <rPr>
            <b/>
            <sz val="9"/>
            <color indexed="81"/>
            <rFont val="Tahoma"/>
            <charset val="1"/>
          </rPr>
          <t>Jens:</t>
        </r>
        <r>
          <rPr>
            <sz val="9"/>
            <color indexed="81"/>
            <rFont val="Tahoma"/>
            <charset val="1"/>
          </rPr>
          <t xml:space="preserve">
valve diameter</t>
        </r>
      </text>
    </comment>
    <comment ref="C24" authorId="1">
      <text>
        <r>
          <rPr>
            <b/>
            <sz val="9"/>
            <color indexed="81"/>
            <rFont val="Tahoma"/>
            <family val="2"/>
          </rPr>
          <t>Jens:</t>
        </r>
        <r>
          <rPr>
            <sz val="9"/>
            <color indexed="81"/>
            <rFont val="Tahoma"/>
            <family val="2"/>
          </rPr>
          <t xml:space="preserve">
radius of valve+curtain area</t>
        </r>
      </text>
    </comment>
  </commentList>
</comments>
</file>

<file path=xl/sharedStrings.xml><?xml version="1.0" encoding="utf-8"?>
<sst xmlns="http://schemas.openxmlformats.org/spreadsheetml/2006/main" count="58" uniqueCount="45">
  <si>
    <t>a</t>
  </si>
  <si>
    <t>b</t>
  </si>
  <si>
    <t>c</t>
  </si>
  <si>
    <t>∆</t>
  </si>
  <si>
    <t>valve (bore)</t>
  </si>
  <si>
    <t>valve (mm)</t>
  </si>
  <si>
    <t>α</t>
  </si>
  <si>
    <t>Note: All values except valvesize taken from the yellow cells to the left</t>
  </si>
  <si>
    <t>γ</t>
  </si>
  <si>
    <t>β°</t>
  </si>
  <si>
    <t>δ°</t>
  </si>
  <si>
    <t>φ (radianer)</t>
  </si>
  <si>
    <t>A</t>
  </si>
  <si>
    <t>a+b+c</t>
  </si>
  <si>
    <t>lyft (mm)</t>
  </si>
  <si>
    <t>unshrouded area as a function of valvesize</t>
  </si>
  <si>
    <t>unshrouded area as a function of valvelift</t>
  </si>
  <si>
    <t>Valveshrouding of the inlet valve(s)</t>
  </si>
  <si>
    <t>Enter your data in the yellow cells</t>
  </si>
  <si>
    <t>Number of inlet valves</t>
  </si>
  <si>
    <t>valve size (mm)</t>
  </si>
  <si>
    <t>valve lift (mm)</t>
  </si>
  <si>
    <t>bore size (mm)</t>
  </si>
  <si>
    <r>
      <t>C (mm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</si>
  <si>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A (mm</t>
    </r>
    <r>
      <rPr>
        <vertAlign val="superscript"/>
        <sz val="11"/>
        <color theme="0" tint="-0.249977111117893"/>
        <rFont val="Calibri"/>
        <family val="2"/>
        <scheme val="minor"/>
      </rPr>
      <t>2</t>
    </r>
    <r>
      <rPr>
        <sz val="11"/>
        <color theme="0" tint="-0.249977111117893"/>
        <rFont val="Calibri"/>
        <family val="2"/>
        <scheme val="minor"/>
      </rPr>
      <t>)</t>
    </r>
  </si>
  <si>
    <t>B (mm2)</t>
  </si>
  <si>
    <t>degrees canted x-axis (º)</t>
  </si>
  <si>
    <t>degrees canted y-axis (º)</t>
  </si>
  <si>
    <t>movement x-axis (mm)</t>
  </si>
  <si>
    <t>movement y-axis (mm)</t>
  </si>
  <si>
    <r>
      <t>C (mm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</si>
  <si>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t>A (mm2)</t>
  </si>
  <si>
    <t>a (mm)</t>
  </si>
  <si>
    <t>distance valve centerline - bore centerline (x-axis)</t>
  </si>
  <si>
    <t>distance valve centerline - bore centerline (y-axis)</t>
  </si>
  <si>
    <r>
      <t>C</t>
    </r>
    <r>
      <rPr>
        <vertAlign val="subscript"/>
        <sz val="11"/>
        <color theme="1"/>
        <rFont val="Calibri"/>
        <family val="2"/>
        <scheme val="minor"/>
      </rPr>
      <t>valve</t>
    </r>
    <r>
      <rPr>
        <sz val="11"/>
        <color theme="1"/>
        <rFont val="Calibri"/>
        <family val="2"/>
        <scheme val="minor"/>
      </rPr>
      <t>-C</t>
    </r>
    <r>
      <rPr>
        <vertAlign val="subscript"/>
        <sz val="11"/>
        <color theme="1"/>
        <rFont val="Calibri"/>
        <family val="2"/>
        <scheme val="minor"/>
      </rPr>
      <t>bore</t>
    </r>
    <r>
      <rPr>
        <sz val="11"/>
        <color theme="1"/>
        <rFont val="Calibri"/>
        <family val="2"/>
        <scheme val="minor"/>
      </rPr>
      <t xml:space="preserve"> (mm)</t>
    </r>
  </si>
  <si>
    <r>
      <t>C</t>
    </r>
    <r>
      <rPr>
        <vertAlign val="subscript"/>
        <sz val="9"/>
        <color theme="1"/>
        <rFont val="Arial"/>
        <family val="2"/>
      </rPr>
      <t>valve</t>
    </r>
    <r>
      <rPr>
        <sz val="9"/>
        <color theme="1"/>
        <rFont val="Arial"/>
        <family val="2"/>
      </rPr>
      <t>-C</t>
    </r>
    <r>
      <rPr>
        <vertAlign val="subscript"/>
        <sz val="9"/>
        <color theme="1"/>
        <rFont val="Arial"/>
        <family val="2"/>
      </rPr>
      <t>valve</t>
    </r>
    <r>
      <rPr>
        <sz val="9"/>
        <color theme="1"/>
        <rFont val="Arial"/>
        <family val="2"/>
      </rPr>
      <t xml:space="preserve"> (mm)</t>
    </r>
  </si>
  <si>
    <t>new C1-C2 and C1-C3 (mm)</t>
  </si>
  <si>
    <t>number of inlet valves</t>
  </si>
  <si>
    <t>valvelift (mm)</t>
  </si>
  <si>
    <t>bore size</t>
  </si>
  <si>
    <r>
      <t>valve size as proportion of bore (min)</t>
    </r>
    <r>
      <rPr>
        <b/>
        <sz val="11"/>
        <color theme="1"/>
        <rFont val="Calibri"/>
        <family val="2"/>
        <scheme val="minor"/>
      </rPr>
      <t xml:space="preserve"> 4 valves</t>
    </r>
  </si>
  <si>
    <r>
      <t>valve size as proportion of bore (min) 2</t>
    </r>
    <r>
      <rPr>
        <b/>
        <sz val="11"/>
        <color theme="1"/>
        <rFont val="Calibri"/>
        <family val="2"/>
        <scheme val="minor"/>
      </rPr>
      <t xml:space="preserve"> valves</t>
    </r>
  </si>
  <si>
    <t>Different valve sizes, same lift</t>
  </si>
  <si>
    <t>Different lift, same valve size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</si>
</sst>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0" tint="-0.24994659260841701"/>
      <name val="Calibri"/>
      <family val="2"/>
      <scheme val="minor"/>
    </font>
    <font>
      <sz val="11"/>
      <color theme="0" tint="-0.2499465926084170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vertAlign val="superscript"/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9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 applyBorder="1"/>
    <xf numFmtId="2" fontId="0" fillId="0" borderId="0" xfId="0" applyNumberForma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4" xfId="0" applyBorder="1"/>
    <xf numFmtId="0" fontId="4" fillId="0" borderId="4" xfId="0" applyFont="1" applyBorder="1"/>
    <xf numFmtId="0" fontId="5" fillId="0" borderId="4" xfId="0" applyFont="1" applyFill="1" applyBorder="1"/>
    <xf numFmtId="0" fontId="4" fillId="0" borderId="4" xfId="0" applyFont="1" applyFill="1" applyBorder="1"/>
    <xf numFmtId="0" fontId="0" fillId="0" borderId="4" xfId="0" applyFill="1" applyBorder="1"/>
    <xf numFmtId="2" fontId="0" fillId="0" borderId="4" xfId="0" applyNumberFormat="1" applyBorder="1"/>
    <xf numFmtId="2" fontId="4" fillId="0" borderId="4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9" fillId="0" borderId="0" xfId="0" applyFont="1"/>
    <xf numFmtId="0" fontId="10" fillId="0" borderId="4" xfId="0" applyFont="1" applyBorder="1"/>
    <xf numFmtId="0" fontId="10" fillId="0" borderId="4" xfId="0" applyFont="1" applyFill="1" applyBorder="1"/>
    <xf numFmtId="0" fontId="1" fillId="0" borderId="0" xfId="0" applyFont="1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0" borderId="0" xfId="0" applyFont="1" applyAlignment="1"/>
    <xf numFmtId="0" fontId="0" fillId="2" borderId="9" xfId="0" applyFill="1" applyBorder="1"/>
    <xf numFmtId="0" fontId="0" fillId="0" borderId="7" xfId="0" applyFill="1" applyBorder="1"/>
    <xf numFmtId="0" fontId="0" fillId="0" borderId="0" xfId="0" applyAlignment="1">
      <alignment horizontal="center"/>
    </xf>
    <xf numFmtId="0" fontId="12" fillId="0" borderId="4" xfId="0" applyFont="1" applyFill="1" applyBorder="1"/>
    <xf numFmtId="2" fontId="0" fillId="3" borderId="4" xfId="0" applyNumberFormat="1" applyFill="1" applyBorder="1"/>
    <xf numFmtId="2" fontId="0" fillId="3" borderId="4" xfId="0" applyNumberFormat="1" applyFill="1" applyBorder="1" applyAlignment="1">
      <alignment horizontal="center"/>
    </xf>
    <xf numFmtId="0" fontId="10" fillId="0" borderId="0" xfId="0" applyFont="1"/>
    <xf numFmtId="0" fontId="0" fillId="0" borderId="0" xfId="0" applyFill="1" applyBorder="1" applyAlignment="1">
      <alignment horizontal="center"/>
    </xf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0" fontId="2" fillId="0" borderId="12" xfId="0" applyFont="1" applyFill="1" applyBorder="1"/>
    <xf numFmtId="0" fontId="0" fillId="0" borderId="12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10" fillId="0" borderId="0" xfId="0" applyFont="1" applyFill="1" applyBorder="1"/>
    <xf numFmtId="1" fontId="10" fillId="0" borderId="0" xfId="0" applyNumberFormat="1" applyFont="1" applyBorder="1"/>
    <xf numFmtId="1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v-SE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61348096"/>
        <c:axId val="61358080"/>
      </c:lineChart>
      <c:catAx>
        <c:axId val="61348096"/>
        <c:scaling>
          <c:orientation val="minMax"/>
        </c:scaling>
        <c:axPos val="b"/>
        <c:numFmt formatCode="General" sourceLinked="1"/>
        <c:tickLblPos val="nextTo"/>
        <c:crossAx val="61358080"/>
        <c:crosses val="autoZero"/>
        <c:auto val="1"/>
        <c:lblAlgn val="ctr"/>
        <c:lblOffset val="100"/>
      </c:catAx>
      <c:valAx>
        <c:axId val="61358080"/>
        <c:scaling>
          <c:orientation val="minMax"/>
        </c:scaling>
        <c:axPos val="l"/>
        <c:majorGridlines/>
        <c:numFmt formatCode="General" sourceLinked="1"/>
        <c:tickLblPos val="nextTo"/>
        <c:crossAx val="61348096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v-SE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Data!$N$24</c:f>
              <c:strCache>
                <c:ptCount val="1"/>
                <c:pt idx="0">
                  <c:v>unshrouded area as a function of valvesize</c:v>
                </c:pt>
              </c:strCache>
            </c:strRef>
          </c:tx>
          <c:cat>
            <c:numRef>
              <c:f>Data!$B$25:$B$33</c:f>
              <c:numCache>
                <c:formatCode>0.00</c:formatCode>
                <c:ptCount val="9"/>
                <c:pt idx="0">
                  <c:v>46</c:v>
                </c:pt>
                <c:pt idx="1">
                  <c:v>47.150000000000006</c:v>
                </c:pt>
                <c:pt idx="2">
                  <c:v>48.300000000000004</c:v>
                </c:pt>
                <c:pt idx="3">
                  <c:v>49.45</c:v>
                </c:pt>
                <c:pt idx="4">
                  <c:v>50.600000000000009</c:v>
                </c:pt>
                <c:pt idx="5">
                  <c:v>51.750000000000007</c:v>
                </c:pt>
                <c:pt idx="6">
                  <c:v>52.900000000000006</c:v>
                </c:pt>
                <c:pt idx="7">
                  <c:v>54.050000000000011</c:v>
                </c:pt>
                <c:pt idx="8">
                  <c:v>55.20000000000001</c:v>
                </c:pt>
              </c:numCache>
            </c:numRef>
          </c:cat>
          <c:val>
            <c:numRef>
              <c:f>Data!$N$25:$N$33</c:f>
              <c:numCache>
                <c:formatCode>0.00</c:formatCode>
                <c:ptCount val="9"/>
                <c:pt idx="0">
                  <c:v>2098.4770657379831</c:v>
                </c:pt>
                <c:pt idx="1">
                  <c:v>2116.6771563168018</c:v>
                </c:pt>
                <c:pt idx="2">
                  <c:v>2132.323006529894</c:v>
                </c:pt>
                <c:pt idx="3">
                  <c:v>2145.469329550052</c:v>
                </c:pt>
                <c:pt idx="4">
                  <c:v>2156.1601459551689</c:v>
                </c:pt>
                <c:pt idx="5">
                  <c:v>2164.4310189340781</c:v>
                </c:pt>
                <c:pt idx="6">
                  <c:v>2170.3106907729652</c:v>
                </c:pt>
                <c:pt idx="7">
                  <c:v>2173.8223103434771</c:v>
                </c:pt>
                <c:pt idx="8">
                  <c:v>2174.9843728094593</c:v>
                </c:pt>
              </c:numCache>
            </c:numRef>
          </c:val>
        </c:ser>
        <c:marker val="1"/>
        <c:axId val="61377920"/>
        <c:axId val="61392000"/>
      </c:lineChart>
      <c:catAx>
        <c:axId val="61377920"/>
        <c:scaling>
          <c:orientation val="minMax"/>
        </c:scaling>
        <c:axPos val="b"/>
        <c:numFmt formatCode="0.00" sourceLinked="1"/>
        <c:tickLblPos val="nextTo"/>
        <c:crossAx val="61392000"/>
        <c:crosses val="autoZero"/>
        <c:auto val="1"/>
        <c:lblAlgn val="ctr"/>
        <c:lblOffset val="100"/>
      </c:catAx>
      <c:valAx>
        <c:axId val="61392000"/>
        <c:scaling>
          <c:orientation val="minMax"/>
        </c:scaling>
        <c:axPos val="l"/>
        <c:majorGridlines/>
        <c:numFmt formatCode="0.00" sourceLinked="1"/>
        <c:tickLblPos val="nextTo"/>
        <c:crossAx val="61377920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v-SE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Data!$N$38</c:f>
              <c:strCache>
                <c:ptCount val="1"/>
                <c:pt idx="0">
                  <c:v>unshrouded area as a function of valvelift</c:v>
                </c:pt>
              </c:strCache>
            </c:strRef>
          </c:tx>
          <c:cat>
            <c:numRef>
              <c:f>Data!$A$39:$A$58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cat>
          <c:val>
            <c:numRef>
              <c:f>Data!$N$39:$N$58</c:f>
              <c:numCache>
                <c:formatCode>0.00</c:formatCode>
                <c:ptCount val="20"/>
                <c:pt idx="0">
                  <c:v>172.7875959474386</c:v>
                </c:pt>
                <c:pt idx="1">
                  <c:v>345.57519189487675</c:v>
                </c:pt>
                <c:pt idx="2">
                  <c:v>515.2249128566682</c:v>
                </c:pt>
                <c:pt idx="3">
                  <c:v>669.98869119772007</c:v>
                </c:pt>
                <c:pt idx="4">
                  <c:v>816.50526776439983</c:v>
                </c:pt>
                <c:pt idx="5">
                  <c:v>957.11972653928569</c:v>
                </c:pt>
                <c:pt idx="6">
                  <c:v>1092.9675348844389</c:v>
                </c:pt>
                <c:pt idx="7">
                  <c:v>1224.7607533670339</c:v>
                </c:pt>
                <c:pt idx="8">
                  <c:v>1352.9997151549414</c:v>
                </c:pt>
                <c:pt idx="9">
                  <c:v>1478.0600166289546</c:v>
                </c:pt>
                <c:pt idx="10">
                  <c:v>1600.236189693067</c:v>
                </c:pt>
                <c:pt idx="11">
                  <c:v>1719.7664904938938</c:v>
                </c:pt>
                <c:pt idx="12">
                  <c:v>1836.8482042652204</c:v>
                </c:pt>
                <c:pt idx="13">
                  <c:v>1951.6476944087644</c:v>
                </c:pt>
                <c:pt idx="14">
                  <c:v>2064.3073186289257</c:v>
                </c:pt>
                <c:pt idx="15">
                  <c:v>2174.9503692397029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marker val="1"/>
        <c:axId val="61813120"/>
        <c:axId val="61814656"/>
      </c:lineChart>
      <c:catAx>
        <c:axId val="61813120"/>
        <c:scaling>
          <c:orientation val="minMax"/>
        </c:scaling>
        <c:axPos val="b"/>
        <c:numFmt formatCode="General" sourceLinked="1"/>
        <c:tickLblPos val="nextTo"/>
        <c:crossAx val="61814656"/>
        <c:crosses val="autoZero"/>
        <c:auto val="1"/>
        <c:lblAlgn val="ctr"/>
        <c:lblOffset val="100"/>
      </c:catAx>
      <c:valAx>
        <c:axId val="61814656"/>
        <c:scaling>
          <c:orientation val="minMax"/>
        </c:scaling>
        <c:axPos val="l"/>
        <c:majorGridlines/>
        <c:numFmt formatCode="0.00" sourceLinked="1"/>
        <c:tickLblPos val="nextTo"/>
        <c:crossAx val="6181312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352425</xdr:colOff>
      <xdr:row>2</xdr:row>
      <xdr:rowOff>95250</xdr:rowOff>
    </xdr:from>
    <xdr:ext cx="184731" cy="264560"/>
    <xdr:sp macro="" textlink="">
      <xdr:nvSpPr>
        <xdr:cNvPr id="5" name="textruta 4"/>
        <xdr:cNvSpPr txBox="1"/>
      </xdr:nvSpPr>
      <xdr:spPr>
        <a:xfrm>
          <a:off x="2724150" y="89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twoCellAnchor>
    <xdr:from>
      <xdr:col>20</xdr:col>
      <xdr:colOff>95250</xdr:colOff>
      <xdr:row>0</xdr:row>
      <xdr:rowOff>148166</xdr:rowOff>
    </xdr:from>
    <xdr:to>
      <xdr:col>25</xdr:col>
      <xdr:colOff>486833</xdr:colOff>
      <xdr:row>16</xdr:row>
      <xdr:rowOff>126999</xdr:rowOff>
    </xdr:to>
    <xdr:graphicFrame macro="">
      <xdr:nvGraphicFramePr>
        <xdr:cNvPr id="13" name="Diagra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3</xdr:row>
      <xdr:rowOff>47625</xdr:rowOff>
    </xdr:from>
    <xdr:to>
      <xdr:col>10</xdr:col>
      <xdr:colOff>704850</xdr:colOff>
      <xdr:row>17</xdr:row>
      <xdr:rowOff>104775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714375</xdr:colOff>
      <xdr:row>3</xdr:row>
      <xdr:rowOff>95250</xdr:rowOff>
    </xdr:from>
    <xdr:to>
      <xdr:col>18</xdr:col>
      <xdr:colOff>704850</xdr:colOff>
      <xdr:row>17</xdr:row>
      <xdr:rowOff>152400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161926</xdr:rowOff>
    </xdr:from>
    <xdr:to>
      <xdr:col>5</xdr:col>
      <xdr:colOff>180975</xdr:colOff>
      <xdr:row>7</xdr:row>
      <xdr:rowOff>180976</xdr:rowOff>
    </xdr:to>
    <xdr:sp macro="" textlink="">
      <xdr:nvSpPr>
        <xdr:cNvPr id="2" name="textruta 1"/>
        <xdr:cNvSpPr txBox="1"/>
      </xdr:nvSpPr>
      <xdr:spPr>
        <a:xfrm>
          <a:off x="371475" y="161926"/>
          <a:ext cx="2857500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/>
            <a:t>The calculations are based on the assumption that the real</a:t>
          </a:r>
          <a:r>
            <a:rPr lang="sv-SE" sz="1100" baseline="0"/>
            <a:t> valve size equals that of the valve itself and the curtain it opens at a certain lift.</a:t>
          </a:r>
        </a:p>
        <a:p>
          <a:endParaRPr lang="sv-SE" sz="1100" baseline="0"/>
        </a:p>
        <a:p>
          <a:r>
            <a:rPr lang="sv-SE" sz="1100" baseline="0"/>
            <a:t>The unshrouded area calculated is the area mentioned above minus the valve itself.</a:t>
          </a:r>
          <a:endParaRPr lang="sv-SE" sz="1100"/>
        </a:p>
      </xdr:txBody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12</xdr:col>
      <xdr:colOff>571500</xdr:colOff>
      <xdr:row>16</xdr:row>
      <xdr:rowOff>127000</xdr:rowOff>
    </xdr:to>
    <xdr:pic>
      <xdr:nvPicPr>
        <xdr:cNvPr id="6" name="Bildobjekt 5" descr="form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7600" y="1905000"/>
          <a:ext cx="4229100" cy="1270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9</xdr:col>
      <xdr:colOff>279400</xdr:colOff>
      <xdr:row>18</xdr:row>
      <xdr:rowOff>139700</xdr:rowOff>
    </xdr:to>
    <xdr:pic>
      <xdr:nvPicPr>
        <xdr:cNvPr id="7" name="Bildobjekt 6" descr="formel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57600" y="3238500"/>
          <a:ext cx="2108200" cy="33020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9</xdr:row>
      <xdr:rowOff>47625</xdr:rowOff>
    </xdr:from>
    <xdr:to>
      <xdr:col>5</xdr:col>
      <xdr:colOff>476250</xdr:colOff>
      <xdr:row>19</xdr:row>
      <xdr:rowOff>180975</xdr:rowOff>
    </xdr:to>
    <xdr:pic>
      <xdr:nvPicPr>
        <xdr:cNvPr id="8" name="Bildobjekt 7" descr="one valve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4800" y="1762125"/>
          <a:ext cx="3219450" cy="203835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20</xdr:row>
      <xdr:rowOff>47625</xdr:rowOff>
    </xdr:from>
    <xdr:to>
      <xdr:col>6</xdr:col>
      <xdr:colOff>266700</xdr:colOff>
      <xdr:row>37</xdr:row>
      <xdr:rowOff>66675</xdr:rowOff>
    </xdr:to>
    <xdr:pic>
      <xdr:nvPicPr>
        <xdr:cNvPr id="9" name="Bildobjekt 8" descr="4ventil shrouding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8625" y="3857625"/>
          <a:ext cx="3495675" cy="3257550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457200</xdr:colOff>
      <xdr:row>20</xdr:row>
      <xdr:rowOff>66675</xdr:rowOff>
    </xdr:from>
    <xdr:to>
      <xdr:col>12</xdr:col>
      <xdr:colOff>19050</xdr:colOff>
      <xdr:row>35</xdr:row>
      <xdr:rowOff>104775</xdr:rowOff>
    </xdr:to>
    <xdr:pic>
      <xdr:nvPicPr>
        <xdr:cNvPr id="10" name="Bildobjekt 9" descr="overlapping valves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114800" y="3876675"/>
          <a:ext cx="3219450" cy="289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8"/>
  <sheetViews>
    <sheetView tabSelected="1" workbookViewId="0">
      <selection activeCell="A36" sqref="A36"/>
    </sheetView>
  </sheetViews>
  <sheetFormatPr defaultRowHeight="15"/>
  <cols>
    <col min="1" max="1" width="47.28515625" customWidth="1"/>
    <col min="2" max="6" width="10.7109375" bestFit="1" customWidth="1"/>
    <col min="8" max="9" width="12" bestFit="1" customWidth="1"/>
    <col min="10" max="10" width="4.85546875" customWidth="1"/>
    <col min="11" max="11" width="11.7109375" bestFit="1" customWidth="1"/>
    <col min="12" max="12" width="10.7109375" bestFit="1" customWidth="1"/>
    <col min="13" max="13" width="12" bestFit="1" customWidth="1"/>
    <col min="14" max="14" width="10.42578125" customWidth="1"/>
    <col min="15" max="15" width="4.7109375" customWidth="1"/>
    <col min="16" max="16" width="2.7109375" customWidth="1"/>
    <col min="17" max="17" width="6.7109375" customWidth="1"/>
    <col min="18" max="22" width="12" customWidth="1"/>
    <col min="23" max="23" width="13.28515625" bestFit="1" customWidth="1"/>
    <col min="24" max="24" width="25.85546875" bestFit="1" customWidth="1"/>
  </cols>
  <sheetData>
    <row r="1" spans="1:11" ht="18">
      <c r="A1" s="15" t="s">
        <v>17</v>
      </c>
    </row>
    <row r="3" spans="1:11" ht="15.75" thickBot="1">
      <c r="A3" t="s">
        <v>18</v>
      </c>
      <c r="K3" s="24"/>
    </row>
    <row r="4" spans="1:11">
      <c r="A4" s="19" t="s">
        <v>19</v>
      </c>
      <c r="B4" s="21">
        <v>1</v>
      </c>
      <c r="C4" s="32"/>
      <c r="K4" s="24"/>
    </row>
    <row r="5" spans="1:11">
      <c r="A5" s="20" t="s">
        <v>20</v>
      </c>
      <c r="B5" s="22">
        <v>55</v>
      </c>
      <c r="C5" s="32"/>
      <c r="K5" s="24"/>
    </row>
    <row r="6" spans="1:11">
      <c r="A6" s="20" t="s">
        <v>33</v>
      </c>
      <c r="B6" s="22">
        <v>0</v>
      </c>
      <c r="C6" s="32"/>
      <c r="K6" s="24"/>
    </row>
    <row r="7" spans="1:11">
      <c r="A7" s="20" t="s">
        <v>34</v>
      </c>
      <c r="B7" s="22">
        <v>27.5</v>
      </c>
      <c r="C7" s="32"/>
      <c r="K7" s="24"/>
    </row>
    <row r="8" spans="1:11">
      <c r="A8" s="20" t="s">
        <v>21</v>
      </c>
      <c r="B8" s="22">
        <v>16</v>
      </c>
      <c r="C8" s="32"/>
      <c r="K8" s="24"/>
    </row>
    <row r="9" spans="1:11" ht="15.75" thickBot="1">
      <c r="A9" s="20" t="s">
        <v>22</v>
      </c>
      <c r="B9" s="22">
        <v>115</v>
      </c>
      <c r="C9" s="32"/>
      <c r="K9" s="24"/>
    </row>
    <row r="10" spans="1:11" ht="18">
      <c r="A10" s="33" t="s">
        <v>35</v>
      </c>
      <c r="B10" s="34">
        <f>SQRT((B6^2)+(B7^2))</f>
        <v>27.5</v>
      </c>
      <c r="C10" s="32"/>
      <c r="K10" s="24"/>
    </row>
    <row r="11" spans="1:11" ht="15.75" thickBot="1">
      <c r="A11" s="35" t="s">
        <v>36</v>
      </c>
      <c r="B11" s="36">
        <f>IF(B4&gt;1,B6*2,0)</f>
        <v>0</v>
      </c>
      <c r="C11" s="32"/>
      <c r="D11" s="18"/>
      <c r="E11" s="18"/>
      <c r="K11" s="24"/>
    </row>
    <row r="12" spans="1:11">
      <c r="A12" s="20" t="s">
        <v>26</v>
      </c>
      <c r="B12" s="22">
        <v>0</v>
      </c>
      <c r="C12" s="32"/>
      <c r="K12" s="24"/>
    </row>
    <row r="13" spans="1:11" ht="15.75" thickBot="1">
      <c r="A13" s="25" t="s">
        <v>27</v>
      </c>
      <c r="B13" s="23">
        <v>0</v>
      </c>
      <c r="C13" s="32"/>
      <c r="K13" s="24"/>
    </row>
    <row r="14" spans="1:11">
      <c r="A14" s="26" t="s">
        <v>28</v>
      </c>
      <c r="B14" s="27">
        <f>(TAN(B12*PI()/180))*B8</f>
        <v>0</v>
      </c>
      <c r="C14" s="27"/>
    </row>
    <row r="15" spans="1:11">
      <c r="A15" s="26" t="s">
        <v>37</v>
      </c>
      <c r="B15" s="27">
        <f>B10-B14</f>
        <v>27.5</v>
      </c>
      <c r="C15" s="27"/>
    </row>
    <row r="16" spans="1:11">
      <c r="A16" s="26" t="s">
        <v>29</v>
      </c>
      <c r="B16" s="27">
        <f>(TAN(B13*PI()/180))*B8</f>
        <v>0</v>
      </c>
      <c r="C16" s="27"/>
    </row>
    <row r="17" spans="1:25">
      <c r="A17" s="26" t="s">
        <v>37</v>
      </c>
      <c r="B17" s="27">
        <f>SQRT((B15^2)+(B16^2))</f>
        <v>27.5</v>
      </c>
      <c r="C17" s="27"/>
    </row>
    <row r="18" spans="1:25" ht="15.75" thickBot="1">
      <c r="X18" s="1"/>
    </row>
    <row r="19" spans="1:25">
      <c r="A19" t="s">
        <v>41</v>
      </c>
      <c r="C19" s="37">
        <v>0.37</v>
      </c>
      <c r="X19" s="2"/>
      <c r="Y19" s="2"/>
    </row>
    <row r="20" spans="1:25" ht="15.75" thickBot="1">
      <c r="A20" t="s">
        <v>42</v>
      </c>
      <c r="C20" s="38">
        <v>0.4</v>
      </c>
      <c r="Y20" s="2"/>
    </row>
    <row r="21" spans="1:25">
      <c r="Y21" s="2"/>
    </row>
    <row r="22" spans="1:25">
      <c r="Y22" s="2"/>
    </row>
    <row r="23" spans="1:25">
      <c r="A23" s="3" t="s">
        <v>43</v>
      </c>
      <c r="B23" s="4"/>
      <c r="C23" s="5"/>
      <c r="N23" s="2"/>
      <c r="Y23" s="2"/>
    </row>
    <row r="24" spans="1:25" ht="17.25">
      <c r="A24" s="6" t="s">
        <v>4</v>
      </c>
      <c r="B24" s="6" t="s">
        <v>5</v>
      </c>
      <c r="C24" s="7" t="s">
        <v>32</v>
      </c>
      <c r="D24" s="8" t="s">
        <v>3</v>
      </c>
      <c r="E24" s="9" t="s">
        <v>6</v>
      </c>
      <c r="F24" s="17" t="s">
        <v>24</v>
      </c>
      <c r="G24" s="17" t="s">
        <v>13</v>
      </c>
      <c r="H24" s="10" t="s">
        <v>12</v>
      </c>
      <c r="I24" s="16" t="s">
        <v>9</v>
      </c>
      <c r="J24" s="17" t="s">
        <v>10</v>
      </c>
      <c r="K24" s="16" t="s">
        <v>11</v>
      </c>
      <c r="L24" s="28" t="s">
        <v>30</v>
      </c>
      <c r="M24" s="10" t="s">
        <v>25</v>
      </c>
      <c r="N24" s="29" t="s">
        <v>15</v>
      </c>
      <c r="O24" s="31" t="s">
        <v>1</v>
      </c>
      <c r="P24" s="31" t="s">
        <v>2</v>
      </c>
      <c r="Q24" s="31" t="s">
        <v>8</v>
      </c>
      <c r="R24" s="39" t="s">
        <v>38</v>
      </c>
      <c r="S24" s="39" t="s">
        <v>39</v>
      </c>
      <c r="T24" s="39" t="s">
        <v>40</v>
      </c>
      <c r="Y24" s="2"/>
    </row>
    <row r="25" spans="1:25">
      <c r="A25" s="11">
        <f>IF(Q25&gt;1,C19,C20)</f>
        <v>0.4</v>
      </c>
      <c r="B25" s="11">
        <f>A25*T25</f>
        <v>46</v>
      </c>
      <c r="C25" s="12">
        <f>SQRT((((((B25/2)^2)*PI())+((B25*PI()*S25)))/(PI())))</f>
        <v>35.566838487557476</v>
      </c>
      <c r="D25" s="7">
        <f t="shared" ref="D25:D33" si="0">0.25*SQRT((C25+O25+P25)*(O25+P25-C25)*(P25+C25-O25)*(C25+O25-P25))</f>
        <v>368.73093171037323</v>
      </c>
      <c r="E25" s="7">
        <f t="shared" ref="E25:E33" si="1">SQRT((C25+O25-P25)*(C25-O25+P25))</f>
        <v>19.104973174542796</v>
      </c>
      <c r="F25" s="16">
        <f>(((C25^2)*((ATAN(((C25^2)-(O25^2)+(P25^2))/(4*D25)))+(ACOS(((O25-P25)/C25)))+(ATAN(((O25-P25)/E25))))-((O25^2)*((ATAN((((C25^2)-(O25^2)-(P25^2)))/(4*D25)))+((PI())/2)))+(2*D25)))</f>
        <v>213.73512730410346</v>
      </c>
      <c r="G25" s="16">
        <f t="shared" ref="G25:G33" si="2">(C25+O25+P25)*(O25+P25-C25)*(P25+C25-O25)*(C25+O25-P25)</f>
        <v>2175399.9999999986</v>
      </c>
      <c r="H25" s="6">
        <f>IF(G25&lt;0,0,F25)</f>
        <v>213.73512730410346</v>
      </c>
      <c r="I25" s="16">
        <f t="shared" ref="I25:I33" si="3">DEGREES((ASIN(Q25/C25)))</f>
        <v>0</v>
      </c>
      <c r="J25" s="16">
        <f>180-90-I25</f>
        <v>90</v>
      </c>
      <c r="K25" s="16">
        <f>((J25*2)*PI())/180</f>
        <v>3.1415926535897931</v>
      </c>
      <c r="L25" s="28">
        <f>IF(B4&gt;1,(((0.5*(C25^2)/2)*(((K25)-(SIN(K25)))))),0)</f>
        <v>0</v>
      </c>
      <c r="M25" s="6">
        <f>(((C25^2)*PI())-H25-L25)</f>
        <v>3760.3795794869839</v>
      </c>
      <c r="N25" s="30">
        <f>(((M25)-(((B25/2)^2)*PI())))</f>
        <v>2098.4770657379831</v>
      </c>
      <c r="O25" s="31">
        <f>B9/2</f>
        <v>57.5</v>
      </c>
      <c r="P25" s="31">
        <f>B17</f>
        <v>27.5</v>
      </c>
      <c r="Q25" s="31">
        <f>B11/2</f>
        <v>0</v>
      </c>
      <c r="R25" s="31">
        <f>B4</f>
        <v>1</v>
      </c>
      <c r="S25">
        <f>B8</f>
        <v>16</v>
      </c>
      <c r="T25">
        <f>B9</f>
        <v>115</v>
      </c>
      <c r="Y25" s="2"/>
    </row>
    <row r="26" spans="1:25">
      <c r="A26" s="11">
        <f t="shared" ref="A26:A33" si="4">IF(Q26&gt;1,A25+0.01,A25+0.01)</f>
        <v>0.41000000000000003</v>
      </c>
      <c r="B26" s="11">
        <f t="shared" ref="B26:B33" si="5">A26*T26</f>
        <v>47.150000000000006</v>
      </c>
      <c r="C26" s="12">
        <f t="shared" ref="C26:C33" si="6">SQRT((((((B26/2)^2)*PI())+((B26*PI()*S26)))/(PI())))</f>
        <v>36.196417295085993</v>
      </c>
      <c r="D26" s="7">
        <f t="shared" si="0"/>
        <v>389.40213051545538</v>
      </c>
      <c r="E26" s="7">
        <f t="shared" si="1"/>
        <v>20.252916456648915</v>
      </c>
      <c r="F26" s="16">
        <f t="shared" ref="F26:F33" si="7">(((C26^2)*((ATAN(((C26^2)-(O26^2)+(P26^2))/(4*D26)))+(ACOS(((O26-P26)/C26)))+(ATAN(((O26-P26)/E26))))-((O26^2)*((ATAN((((C26^2)-(O26^2)-(P26^2)))/(4*D26)))+((PI())/2)))+(2*D26)))</f>
        <v>253.34034155133941</v>
      </c>
      <c r="G26" s="16">
        <f t="shared" si="2"/>
        <v>2426144.3079996118</v>
      </c>
      <c r="H26" s="6">
        <f t="shared" ref="H26:H33" si="8">IF(G26&lt;0,0,F26)</f>
        <v>253.34034155133941</v>
      </c>
      <c r="I26" s="16">
        <f t="shared" si="3"/>
        <v>0</v>
      </c>
      <c r="J26" s="16">
        <f t="shared" ref="J26:J33" si="9">180-90-I26</f>
        <v>90</v>
      </c>
      <c r="K26" s="16">
        <f t="shared" ref="K26:K33" si="10">((J26*2)*PI())/180</f>
        <v>3.1415926535897931</v>
      </c>
      <c r="L26" s="28">
        <f>IF(B4&gt;1,(((0.5*(C26^2)/2)*(((K26)-(SIN(K26)))))),0)</f>
        <v>0</v>
      </c>
      <c r="M26" s="6">
        <f t="shared" ref="M26:M33" si="11">(((C26^2)*PI())-H26-L26)</f>
        <v>3862.7134848243459</v>
      </c>
      <c r="N26" s="30">
        <f t="shared" ref="N26:N33" si="12">(((M26)-(((B26/2)^2)*PI())))</f>
        <v>2116.6771563168018</v>
      </c>
      <c r="O26" s="31">
        <f>B9/2</f>
        <v>57.5</v>
      </c>
      <c r="P26" s="31">
        <f>B17</f>
        <v>27.5</v>
      </c>
      <c r="Q26" s="31">
        <f>B11/2</f>
        <v>0</v>
      </c>
      <c r="R26" s="31">
        <f>B4</f>
        <v>1</v>
      </c>
      <c r="S26">
        <f>B8</f>
        <v>16</v>
      </c>
      <c r="T26">
        <f>B9</f>
        <v>115</v>
      </c>
      <c r="Y26" s="2"/>
    </row>
    <row r="27" spans="1:25">
      <c r="A27" s="11">
        <f t="shared" si="4"/>
        <v>0.42000000000000004</v>
      </c>
      <c r="B27" s="11">
        <f t="shared" si="5"/>
        <v>48.300000000000004</v>
      </c>
      <c r="C27" s="12">
        <f t="shared" si="6"/>
        <v>36.824210785840343</v>
      </c>
      <c r="D27" s="7">
        <f t="shared" si="0"/>
        <v>408.99157937494169</v>
      </c>
      <c r="E27" s="7">
        <f t="shared" si="1"/>
        <v>21.354683327083084</v>
      </c>
      <c r="F27" s="16">
        <f t="shared" si="7"/>
        <v>295.49979616429823</v>
      </c>
      <c r="G27" s="16">
        <f t="shared" si="2"/>
        <v>2676385.7919937479</v>
      </c>
      <c r="H27" s="6">
        <f t="shared" si="8"/>
        <v>295.49979616429823</v>
      </c>
      <c r="I27" s="16">
        <f t="shared" si="3"/>
        <v>0</v>
      </c>
      <c r="J27" s="16">
        <f t="shared" si="9"/>
        <v>90</v>
      </c>
      <c r="K27" s="16">
        <f t="shared" si="10"/>
        <v>3.1415926535897931</v>
      </c>
      <c r="L27" s="28">
        <f>IF(B4&gt;1,((((C27^2)/2)*(((K27)-(SIN(K27)))))*0.5),0)</f>
        <v>0</v>
      </c>
      <c r="M27" s="6">
        <f t="shared" si="11"/>
        <v>3964.5705279381673</v>
      </c>
      <c r="N27" s="30">
        <f t="shared" si="12"/>
        <v>2132.323006529894</v>
      </c>
      <c r="O27" s="31">
        <f>B9/2</f>
        <v>57.5</v>
      </c>
      <c r="P27" s="31">
        <f>B17</f>
        <v>27.5</v>
      </c>
      <c r="Q27" s="31">
        <f>B11/2</f>
        <v>0</v>
      </c>
      <c r="R27" s="31">
        <f>B4</f>
        <v>1</v>
      </c>
      <c r="S27">
        <f>B8</f>
        <v>16</v>
      </c>
      <c r="T27">
        <f>B9</f>
        <v>115</v>
      </c>
      <c r="Y27" s="2"/>
    </row>
    <row r="28" spans="1:25">
      <c r="A28" s="11">
        <f t="shared" si="4"/>
        <v>0.43000000000000005</v>
      </c>
      <c r="B28" s="11">
        <f t="shared" si="5"/>
        <v>49.45</v>
      </c>
      <c r="C28" s="12">
        <f t="shared" si="6"/>
        <v>37.450308743720662</v>
      </c>
      <c r="D28" s="7">
        <f t="shared" si="0"/>
        <v>427.63466989529724</v>
      </c>
      <c r="E28" s="7">
        <f t="shared" si="1"/>
        <v>22.417083329461043</v>
      </c>
      <c r="F28" s="16">
        <f t="shared" si="7"/>
        <v>340.15877797019277</v>
      </c>
      <c r="G28" s="16">
        <f t="shared" si="2"/>
        <v>2925942.5743433572</v>
      </c>
      <c r="H28" s="6">
        <f t="shared" si="8"/>
        <v>340.15877797019277</v>
      </c>
      <c r="I28" s="16">
        <f t="shared" si="3"/>
        <v>0</v>
      </c>
      <c r="J28" s="16">
        <f t="shared" si="9"/>
        <v>90</v>
      </c>
      <c r="K28" s="16">
        <f t="shared" si="10"/>
        <v>3.1415926535897931</v>
      </c>
      <c r="L28" s="28">
        <f>IF(B4&gt;1,((((C28^2)/2)*(((K28)-(SIN(K28)))))*0.5),0)</f>
        <v>0</v>
      </c>
      <c r="M28" s="6">
        <f t="shared" si="11"/>
        <v>4066.0054220012412</v>
      </c>
      <c r="N28" s="30">
        <f t="shared" si="12"/>
        <v>2145.469329550052</v>
      </c>
      <c r="O28" s="31">
        <f>B9/2</f>
        <v>57.5</v>
      </c>
      <c r="P28" s="31">
        <f>B17</f>
        <v>27.5</v>
      </c>
      <c r="Q28" s="31">
        <f>B11/2</f>
        <v>0</v>
      </c>
      <c r="R28" s="31">
        <f>B4</f>
        <v>1</v>
      </c>
      <c r="S28">
        <f>B8</f>
        <v>16</v>
      </c>
      <c r="T28">
        <f>B9</f>
        <v>115</v>
      </c>
      <c r="Y28" s="2"/>
    </row>
    <row r="29" spans="1:25">
      <c r="A29" s="11">
        <f t="shared" si="4"/>
        <v>0.44000000000000006</v>
      </c>
      <c r="B29" s="11">
        <f t="shared" si="5"/>
        <v>50.600000000000009</v>
      </c>
      <c r="C29" s="12">
        <f t="shared" si="6"/>
        <v>38.074794812316462</v>
      </c>
      <c r="D29" s="7">
        <f t="shared" si="0"/>
        <v>445.43729594495159</v>
      </c>
      <c r="E29" s="7">
        <f t="shared" si="1"/>
        <v>23.445468645348093</v>
      </c>
      <c r="F29" s="16">
        <f t="shared" si="7"/>
        <v>387.27326639112823</v>
      </c>
      <c r="G29" s="16">
        <f t="shared" si="2"/>
        <v>3174630.1539000059</v>
      </c>
      <c r="H29" s="6">
        <f t="shared" si="8"/>
        <v>387.27326639112823</v>
      </c>
      <c r="I29" s="16">
        <f t="shared" si="3"/>
        <v>0</v>
      </c>
      <c r="J29" s="16">
        <f t="shared" si="9"/>
        <v>90</v>
      </c>
      <c r="K29" s="16">
        <f t="shared" si="10"/>
        <v>3.1415926535897931</v>
      </c>
      <c r="L29" s="28">
        <f>IF(B4&gt;1,((((C29^2)/2)*(((K29)-(SIN(K29)))))*0.5),0)</f>
        <v>0</v>
      </c>
      <c r="M29" s="6">
        <f t="shared" si="11"/>
        <v>4167.0621875914603</v>
      </c>
      <c r="N29" s="30">
        <f t="shared" si="12"/>
        <v>2156.1601459551689</v>
      </c>
      <c r="O29" s="31">
        <f>B9/2</f>
        <v>57.5</v>
      </c>
      <c r="P29" s="31">
        <f>B17</f>
        <v>27.5</v>
      </c>
      <c r="Q29" s="31">
        <f>B11/2</f>
        <v>0</v>
      </c>
      <c r="R29" s="31">
        <f>B4</f>
        <v>1</v>
      </c>
      <c r="S29">
        <f>B8</f>
        <v>16</v>
      </c>
      <c r="T29">
        <f>B9</f>
        <v>115</v>
      </c>
      <c r="Y29" s="2"/>
    </row>
    <row r="30" spans="1:25">
      <c r="A30" s="11">
        <f t="shared" si="4"/>
        <v>0.45000000000000007</v>
      </c>
      <c r="B30" s="11">
        <f t="shared" si="5"/>
        <v>51.750000000000007</v>
      </c>
      <c r="C30" s="12">
        <f t="shared" si="6"/>
        <v>38.697747027443341</v>
      </c>
      <c r="D30" s="7">
        <f t="shared" si="0"/>
        <v>462.48387850320381</v>
      </c>
      <c r="E30" s="7">
        <f t="shared" si="1"/>
        <v>24.444132731598394</v>
      </c>
      <c r="F30" s="16">
        <f t="shared" si="7"/>
        <v>436.80769823827029</v>
      </c>
      <c r="G30" s="16">
        <f t="shared" si="2"/>
        <v>3422261.4060058589</v>
      </c>
      <c r="H30" s="6">
        <f t="shared" si="8"/>
        <v>436.80769823827029</v>
      </c>
      <c r="I30" s="16">
        <f t="shared" si="3"/>
        <v>0</v>
      </c>
      <c r="J30" s="16">
        <f t="shared" si="9"/>
        <v>90</v>
      </c>
      <c r="K30" s="16">
        <f t="shared" si="10"/>
        <v>3.1415926535897931</v>
      </c>
      <c r="L30" s="28">
        <f>IF(B4&gt;1,((((C30^2)/2)*(((K30)-(SIN(K30)))))*0.5),0)</f>
        <v>0</v>
      </c>
      <c r="M30" s="6">
        <f t="shared" si="11"/>
        <v>4267.7763878976575</v>
      </c>
      <c r="N30" s="30">
        <f t="shared" si="12"/>
        <v>2164.4310189340781</v>
      </c>
      <c r="O30" s="31">
        <f>B9/2</f>
        <v>57.5</v>
      </c>
      <c r="P30" s="31">
        <f>B17</f>
        <v>27.5</v>
      </c>
      <c r="Q30" s="31">
        <f>B11/2</f>
        <v>0</v>
      </c>
      <c r="R30" s="31">
        <f>B4</f>
        <v>1</v>
      </c>
      <c r="S30">
        <f>B8</f>
        <v>16</v>
      </c>
      <c r="T30">
        <f>B9</f>
        <v>115</v>
      </c>
      <c r="Y30" s="2"/>
    </row>
    <row r="31" spans="1:25">
      <c r="A31" s="11">
        <f t="shared" si="4"/>
        <v>0.46000000000000008</v>
      </c>
      <c r="B31" s="11">
        <f t="shared" si="5"/>
        <v>52.900000000000006</v>
      </c>
      <c r="C31" s="12">
        <f t="shared" si="6"/>
        <v>39.319238293741151</v>
      </c>
      <c r="D31" s="7">
        <f t="shared" si="0"/>
        <v>478.8427836000659</v>
      </c>
      <c r="E31" s="7">
        <f t="shared" si="1"/>
        <v>25.416579234822308</v>
      </c>
      <c r="F31" s="16">
        <f t="shared" si="7"/>
        <v>488.73333122543636</v>
      </c>
      <c r="G31" s="16">
        <f t="shared" si="2"/>
        <v>3668646.5824937527</v>
      </c>
      <c r="H31" s="6">
        <f t="shared" si="8"/>
        <v>488.73333122543636</v>
      </c>
      <c r="I31" s="16">
        <f t="shared" si="3"/>
        <v>0</v>
      </c>
      <c r="J31" s="16">
        <f t="shared" si="9"/>
        <v>90</v>
      </c>
      <c r="K31" s="16">
        <f t="shared" si="10"/>
        <v>3.1415926535897931</v>
      </c>
      <c r="L31" s="28">
        <f>IF(B4&gt;1,((((C31^2)/2)*(((K31)-(SIN(K31)))))*0.5),0)</f>
        <v>0</v>
      </c>
      <c r="M31" s="6">
        <f t="shared" si="11"/>
        <v>4368.1767652060189</v>
      </c>
      <c r="N31" s="30">
        <f t="shared" si="12"/>
        <v>2170.3106907729652</v>
      </c>
      <c r="O31" s="31">
        <f>B9/2</f>
        <v>57.5</v>
      </c>
      <c r="P31" s="31">
        <f>B17</f>
        <v>27.5</v>
      </c>
      <c r="Q31" s="31">
        <f>B11/2</f>
        <v>0</v>
      </c>
      <c r="R31" s="31">
        <f>B4</f>
        <v>1</v>
      </c>
      <c r="S31">
        <f>B8</f>
        <v>16</v>
      </c>
      <c r="T31">
        <f>B9</f>
        <v>115</v>
      </c>
      <c r="Y31" s="2"/>
    </row>
    <row r="32" spans="1:25">
      <c r="A32" s="11">
        <f t="shared" si="4"/>
        <v>0.47000000000000008</v>
      </c>
      <c r="B32" s="11">
        <f t="shared" si="5"/>
        <v>54.050000000000011</v>
      </c>
      <c r="C32" s="12">
        <f t="shared" si="6"/>
        <v>39.93933681222061</v>
      </c>
      <c r="D32" s="7">
        <f t="shared" si="0"/>
        <v>494.57009814630345</v>
      </c>
      <c r="E32" s="7">
        <f t="shared" si="1"/>
        <v>26.365709264118045</v>
      </c>
      <c r="F32" s="16">
        <f t="shared" si="7"/>
        <v>543.02701648097639</v>
      </c>
      <c r="G32" s="16">
        <f t="shared" si="2"/>
        <v>3913593.3116871077</v>
      </c>
      <c r="H32" s="6">
        <f t="shared" si="8"/>
        <v>543.02701648097639</v>
      </c>
      <c r="I32" s="16">
        <f t="shared" si="3"/>
        <v>0</v>
      </c>
      <c r="J32" s="16">
        <f t="shared" si="9"/>
        <v>90</v>
      </c>
      <c r="K32" s="16">
        <f t="shared" si="10"/>
        <v>3.1415926535897931</v>
      </c>
      <c r="L32" s="28">
        <f>IF(B4&gt;1,((((C32^2)/2)*(((K32)-(SIN(K32)))))*0.5),0)</f>
        <v>0</v>
      </c>
      <c r="M32" s="6">
        <f t="shared" si="11"/>
        <v>4468.2864683881917</v>
      </c>
      <c r="N32" s="30">
        <f t="shared" si="12"/>
        <v>2173.8223103434771</v>
      </c>
      <c r="O32" s="31">
        <f>B9/2</f>
        <v>57.5</v>
      </c>
      <c r="P32" s="31">
        <f>B17</f>
        <v>27.5</v>
      </c>
      <c r="Q32" s="31">
        <f>B11/2</f>
        <v>0</v>
      </c>
      <c r="R32" s="40">
        <f>B4</f>
        <v>1</v>
      </c>
      <c r="S32" s="41">
        <f>B8</f>
        <v>16</v>
      </c>
      <c r="T32" s="41">
        <f>B9</f>
        <v>115</v>
      </c>
      <c r="U32" s="14"/>
      <c r="V32" s="14"/>
      <c r="W32" s="14"/>
      <c r="X32" s="2"/>
      <c r="Y32" s="2"/>
    </row>
    <row r="33" spans="1:25">
      <c r="A33" s="11">
        <f t="shared" si="4"/>
        <v>0.48000000000000009</v>
      </c>
      <c r="B33" s="11">
        <f t="shared" si="5"/>
        <v>55.20000000000001</v>
      </c>
      <c r="C33" s="12">
        <f t="shared" si="6"/>
        <v>40.558106464676094</v>
      </c>
      <c r="D33" s="7">
        <f t="shared" si="0"/>
        <v>509.71233298793157</v>
      </c>
      <c r="E33" s="7">
        <f t="shared" si="1"/>
        <v>27.29395537477118</v>
      </c>
      <c r="F33" s="16">
        <f t="shared" si="7"/>
        <v>599.67025884104771</v>
      </c>
      <c r="G33" s="16">
        <f t="shared" si="2"/>
        <v>4156906.5984000005</v>
      </c>
      <c r="H33" s="6">
        <f t="shared" si="8"/>
        <v>599.67025884104771</v>
      </c>
      <c r="I33" s="16">
        <f t="shared" si="3"/>
        <v>0</v>
      </c>
      <c r="J33" s="16">
        <f t="shared" si="9"/>
        <v>90</v>
      </c>
      <c r="K33" s="16">
        <f t="shared" si="10"/>
        <v>3.1415926535897931</v>
      </c>
      <c r="L33" s="28">
        <f>IF(B4&gt;1,((((C33^2)/2)*(((K33)-(SIN(K33)))))*0.5),0)</f>
        <v>0</v>
      </c>
      <c r="M33" s="6">
        <f t="shared" si="11"/>
        <v>4568.1239926080207</v>
      </c>
      <c r="N33" s="30">
        <f t="shared" si="12"/>
        <v>2174.9843728094593</v>
      </c>
      <c r="O33" s="31">
        <f>B9/2</f>
        <v>57.5</v>
      </c>
      <c r="P33" s="31">
        <f>B17</f>
        <v>27.5</v>
      </c>
      <c r="Q33" s="31">
        <f>B11/2</f>
        <v>0</v>
      </c>
      <c r="R33" s="40">
        <f>B4</f>
        <v>1</v>
      </c>
      <c r="S33" s="41">
        <f>B8</f>
        <v>16</v>
      </c>
      <c r="T33" s="41">
        <f>B9</f>
        <v>115</v>
      </c>
      <c r="U33" s="14"/>
      <c r="V33" s="14"/>
      <c r="W33" s="14"/>
      <c r="X33" s="2"/>
      <c r="Y33" s="2"/>
    </row>
    <row r="34" spans="1:25">
      <c r="A34" t="s">
        <v>7</v>
      </c>
      <c r="E34" s="13"/>
      <c r="F34" s="14"/>
      <c r="G34" s="14"/>
      <c r="H34" s="14"/>
      <c r="I34" s="14"/>
      <c r="J34" s="14"/>
      <c r="K34" s="14"/>
      <c r="L34" s="14"/>
      <c r="M34" s="14"/>
      <c r="N34" s="2"/>
    </row>
    <row r="37" spans="1:25">
      <c r="A37" s="3" t="s">
        <v>44</v>
      </c>
      <c r="B37" s="4"/>
      <c r="C37" s="5"/>
      <c r="N37" s="2"/>
      <c r="O37" s="2"/>
    </row>
    <row r="38" spans="1:25" ht="17.25">
      <c r="A38" s="6" t="s">
        <v>14</v>
      </c>
      <c r="B38" s="6" t="s">
        <v>5</v>
      </c>
      <c r="C38" s="7" t="s">
        <v>0</v>
      </c>
      <c r="D38" s="8" t="s">
        <v>3</v>
      </c>
      <c r="E38" s="9" t="s">
        <v>6</v>
      </c>
      <c r="F38" s="17" t="s">
        <v>24</v>
      </c>
      <c r="G38" s="17" t="s">
        <v>13</v>
      </c>
      <c r="H38" s="10" t="s">
        <v>31</v>
      </c>
      <c r="I38" s="17" t="s">
        <v>9</v>
      </c>
      <c r="J38" s="17" t="s">
        <v>10</v>
      </c>
      <c r="K38" s="17" t="s">
        <v>11</v>
      </c>
      <c r="L38" s="10" t="s">
        <v>23</v>
      </c>
      <c r="M38" s="10" t="s">
        <v>25</v>
      </c>
      <c r="N38" s="29" t="s">
        <v>16</v>
      </c>
      <c r="O38" s="31" t="s">
        <v>1</v>
      </c>
      <c r="P38" s="31" t="s">
        <v>2</v>
      </c>
      <c r="Q38" s="31" t="s">
        <v>8</v>
      </c>
    </row>
    <row r="39" spans="1:25">
      <c r="A39" s="6">
        <f>IF(1&lt;(B8+1),1)</f>
        <v>1</v>
      </c>
      <c r="B39" s="11">
        <f>IF(A39&lt;1,0,B5)</f>
        <v>55</v>
      </c>
      <c r="C39" s="12">
        <f>SQRT((((((B39/2)^2)*PI())+((B39*PI()*A39)))/(PI())))</f>
        <v>28.482450737252229</v>
      </c>
      <c r="D39" s="7" t="e">
        <f t="shared" ref="D39:D58" si="13">0.25*SQRT((C39+O39+P39)*(O39+P39-C39)*(P39+C39-O39)*(C39+O39-P39))</f>
        <v>#NUM!</v>
      </c>
      <c r="E39" s="7" t="e">
        <f t="shared" ref="E39:E58" si="14">SQRT((C39+O39-P39)*(C39-O39+P39))</f>
        <v>#NUM!</v>
      </c>
      <c r="F39" s="16" t="e">
        <f>(((C39^2)*((ATAN(((C39^2)-(O39^2)+(P39^2))/(4*D39)))+(ACOS(((O39-P39)/C39)))+(ATAN(((O39-P39)/E39))))-((O39^2)*((ATAN((((C39^2)-(O39^2)-(P39^2)))/(4*D39)))+((PI())/2)))+(2*D39)))*B4</f>
        <v>#NUM!</v>
      </c>
      <c r="G39" s="17">
        <f t="shared" ref="G39:G58" si="15">(C39+O39+P39)*(O39+P39-C39)*(P39+C39-O39)*(C39+O39-P39)</f>
        <v>-569220.31249999977</v>
      </c>
      <c r="H39" s="10">
        <f>IF(G39&lt;0,0,F39)</f>
        <v>0</v>
      </c>
      <c r="I39" s="17">
        <f t="shared" ref="I39:I58" si="16">IF(A39&lt;1,0,DEGREES((ASIN(Q39/C39))))</f>
        <v>0</v>
      </c>
      <c r="J39" s="17">
        <f>180-90-I39</f>
        <v>90</v>
      </c>
      <c r="K39" s="17">
        <f>((J39*2)*PI())/180</f>
        <v>3.1415926535897931</v>
      </c>
      <c r="L39" s="10">
        <f>IF(B4&gt;1,(((C39^2)/2)*(((K39)-(SIN(K39))))),0)</f>
        <v>0</v>
      </c>
      <c r="M39" s="10">
        <f>IF(C39&lt;Q39,(((C39^2)*PI())-H39)*B4,(((C39^2)*PI())-H39-L39)*B4)</f>
        <v>2548.6170402247199</v>
      </c>
      <c r="N39" s="30">
        <f t="shared" ref="N39:N58" si="17">((M39)-(((B39/2)^2)*PI()))</f>
        <v>172.7875959474386</v>
      </c>
      <c r="O39" s="31">
        <f>B9/2</f>
        <v>57.5</v>
      </c>
      <c r="P39" s="31">
        <f>B15</f>
        <v>27.5</v>
      </c>
      <c r="Q39" s="31">
        <f>B11/2</f>
        <v>0</v>
      </c>
    </row>
    <row r="40" spans="1:25">
      <c r="A40" s="6">
        <f>IF(2&lt;(B8+1),2)</f>
        <v>2</v>
      </c>
      <c r="B40" s="11">
        <f>IF(A40&lt;1,0,B5)</f>
        <v>55</v>
      </c>
      <c r="C40" s="12">
        <f t="shared" ref="C40:C58" si="18">SQRT((((((B40/2)^2)*PI())+((B40*PI()*A40)))/(PI())))</f>
        <v>29.432125305522874</v>
      </c>
      <c r="D40" s="7" t="e">
        <f t="shared" si="13"/>
        <v>#NUM!</v>
      </c>
      <c r="E40" s="7" t="e">
        <f t="shared" si="14"/>
        <v>#NUM!</v>
      </c>
      <c r="F40" s="16" t="e">
        <f>(((C40^2)*((ATAN(((C40^2)-(O40^2)+(P40^2))/(4*D40)))+(ACOS(((O40-P40)/C40)))+(ATAN(((O40-P40)/E40))))-((O40^2)*((ATAN((((C40^2)-(O40^2)-(P40^2)))/(4*D40)))+((PI())/2)))+(2*D40)))*B4</f>
        <v>#NUM!</v>
      </c>
      <c r="G40" s="17">
        <f t="shared" si="15"/>
        <v>-214607.81250000052</v>
      </c>
      <c r="H40" s="10">
        <f t="shared" ref="H40:H58" si="19">IF(G40&lt;0,0,F40)</f>
        <v>0</v>
      </c>
      <c r="I40" s="17">
        <f t="shared" si="16"/>
        <v>0</v>
      </c>
      <c r="J40" s="17">
        <f t="shared" ref="J40:J58" si="20">180-90-I40</f>
        <v>90</v>
      </c>
      <c r="K40" s="17">
        <f t="shared" ref="K40:K58" si="21">((J40*2)*PI())/180</f>
        <v>3.1415926535897931</v>
      </c>
      <c r="L40" s="10">
        <f>IF(B4&gt;1,(((C40^2)/2)*(((K40)-(SIN(K40))))),0)</f>
        <v>0</v>
      </c>
      <c r="M40" s="10">
        <f>IF(C40&lt;Q40,(((C40^2)*PI())-H40)*B5,(((C40^2)*PI())-H40-L40)*B4)</f>
        <v>2721.404636172158</v>
      </c>
      <c r="N40" s="30">
        <f t="shared" si="17"/>
        <v>345.57519189487675</v>
      </c>
      <c r="O40" s="31">
        <f>B9/2</f>
        <v>57.5</v>
      </c>
      <c r="P40" s="31">
        <f>B15</f>
        <v>27.5</v>
      </c>
      <c r="Q40" s="31">
        <f>B11/2</f>
        <v>0</v>
      </c>
    </row>
    <row r="41" spans="1:25">
      <c r="A41" s="6">
        <f>IF(3&lt;(B8+1),3)</f>
        <v>3</v>
      </c>
      <c r="B41" s="11">
        <f>IF(A41&lt;1,0,B5)</f>
        <v>55</v>
      </c>
      <c r="C41" s="12">
        <f t="shared" si="18"/>
        <v>30.352100421552379</v>
      </c>
      <c r="D41" s="7">
        <f t="shared" si="13"/>
        <v>91.499551740705471</v>
      </c>
      <c r="E41" s="7">
        <f t="shared" si="14"/>
        <v>4.6097722286464542</v>
      </c>
      <c r="F41" s="16">
        <f>(((C41^2)*((ATAN(((C41^2)-(O41^2)+(P41^2))/(4*D41)))+(ACOS(((O41-P41)/C41)))+(ATAN(((O41-P41)/E41))))-((O41^2)*((ATAN((((C41^2)-(O41^2)-(P41^2)))/(4*D41)))+((PI())/2)))+(2*D41)))*B4</f>
        <v>3.1378749856476702</v>
      </c>
      <c r="G41" s="17">
        <f t="shared" si="15"/>
        <v>133954.68750000058</v>
      </c>
      <c r="H41" s="10">
        <f t="shared" si="19"/>
        <v>3.1378749856476702</v>
      </c>
      <c r="I41" s="17">
        <f t="shared" si="16"/>
        <v>0</v>
      </c>
      <c r="J41" s="17">
        <f t="shared" si="20"/>
        <v>90</v>
      </c>
      <c r="K41" s="17">
        <f t="shared" si="21"/>
        <v>3.1415926535897931</v>
      </c>
      <c r="L41" s="10">
        <f>IF(B4&gt;1,(((C41^2)/2)*(((K41)-(SIN(K41))))),0)</f>
        <v>0</v>
      </c>
      <c r="M41" s="10">
        <f>IF(C41&lt;Q41,(((C41^2)*PI())-H41)*B6,(((C41^2)*PI())-H41-L41)*B4)</f>
        <v>2891.0543571339495</v>
      </c>
      <c r="N41" s="30">
        <f t="shared" si="17"/>
        <v>515.2249128566682</v>
      </c>
      <c r="O41" s="31">
        <f>B9/2</f>
        <v>57.5</v>
      </c>
      <c r="P41" s="31">
        <f>B15</f>
        <v>27.5</v>
      </c>
      <c r="Q41" s="31">
        <f>B11/2</f>
        <v>0</v>
      </c>
    </row>
    <row r="42" spans="1:25">
      <c r="A42" s="6">
        <f>IF(4&lt;(B8+1),4)</f>
        <v>4</v>
      </c>
      <c r="B42" s="11">
        <f>IF(A42&lt;1,0,B5)</f>
        <v>55</v>
      </c>
      <c r="C42" s="12">
        <f t="shared" si="18"/>
        <v>31.244999599935987</v>
      </c>
      <c r="D42" s="7">
        <f t="shared" si="13"/>
        <v>172.56650665395648</v>
      </c>
      <c r="E42" s="7">
        <f t="shared" si="14"/>
        <v>8.7321245982864895</v>
      </c>
      <c r="F42" s="16">
        <f>(((C42^2)*((ATAN(((C42^2)-(O42^2)+(P42^2))/(4*D42)))+(ACOS(((O42-P42)/C42)))+(ATAN(((O42-P42)/E42))))-((O42^2)*((ATAN((((C42^2)-(O42^2)-(P42^2)))/(4*D42)))+((PI())/2)))+(2*D42)))*B4</f>
        <v>21.161692592034569</v>
      </c>
      <c r="G42" s="17">
        <f t="shared" si="15"/>
        <v>476467.18750000006</v>
      </c>
      <c r="H42" s="10">
        <f t="shared" si="19"/>
        <v>21.161692592034569</v>
      </c>
      <c r="I42" s="17">
        <f t="shared" si="16"/>
        <v>0</v>
      </c>
      <c r="J42" s="17">
        <f t="shared" si="20"/>
        <v>90</v>
      </c>
      <c r="K42" s="17">
        <f t="shared" si="21"/>
        <v>3.1415926535897931</v>
      </c>
      <c r="L42" s="10">
        <f>IF(B4&gt;1,(((C42^2)/2)*(((K42)-(SIN(K42))))),0)</f>
        <v>0</v>
      </c>
      <c r="M42" s="10">
        <f>IF(C42&lt;Q42,(((C42^2)*PI())-H42)*B7,(((C42^2)*PI())-H42-L42)*B4)</f>
        <v>3045.8181354750013</v>
      </c>
      <c r="N42" s="30">
        <f t="shared" si="17"/>
        <v>669.98869119772007</v>
      </c>
      <c r="O42" s="31">
        <f>B9/2</f>
        <v>57.5</v>
      </c>
      <c r="P42" s="31">
        <f>B15</f>
        <v>27.5</v>
      </c>
      <c r="Q42" s="31">
        <f>B11/2</f>
        <v>0</v>
      </c>
    </row>
    <row r="43" spans="1:25">
      <c r="A43" s="6">
        <f>IF(5&lt;(B8+1),5)</f>
        <v>5</v>
      </c>
      <c r="B43" s="11">
        <f>IF(A43&lt;1,0,B5)</f>
        <v>55</v>
      </c>
      <c r="C43" s="12">
        <f t="shared" si="18"/>
        <v>32.113081446662825</v>
      </c>
      <c r="D43" s="7">
        <f t="shared" si="13"/>
        <v>225.40653377564291</v>
      </c>
      <c r="E43" s="7">
        <f t="shared" si="14"/>
        <v>11.456439237389606</v>
      </c>
      <c r="F43" s="16">
        <f>(((C43^2)*((ATAN(((C43^2)-(O43^2)+(P43^2))/(4*D43)))+(ACOS(((O43-P43)/C43)))+(ATAN(((O43-P43)/E43))))-((O43^2)*((ATAN((((C43^2)-(O43^2)-(P43^2)))/(4*D43)))+((PI())/2)))+(2*D43)))*B4</f>
        <v>47.432711972793868</v>
      </c>
      <c r="G43" s="17">
        <f t="shared" si="15"/>
        <v>812929.68750000081</v>
      </c>
      <c r="H43" s="10">
        <f t="shared" si="19"/>
        <v>47.432711972793868</v>
      </c>
      <c r="I43" s="17">
        <f t="shared" si="16"/>
        <v>0</v>
      </c>
      <c r="J43" s="17">
        <f t="shared" si="20"/>
        <v>90</v>
      </c>
      <c r="K43" s="17">
        <f t="shared" si="21"/>
        <v>3.1415926535897931</v>
      </c>
      <c r="L43" s="10">
        <f>IF(B4&gt;1,(((C43^2)/2)*(((K43)-(SIN(K43))))),0)</f>
        <v>0</v>
      </c>
      <c r="M43" s="10">
        <f>IF(C43&lt;Q43,(((C43^2)*PI())-H43)*B8,(((C43^2)*PI())-H43-L43)*B4)</f>
        <v>3192.3347120416811</v>
      </c>
      <c r="N43" s="30">
        <f t="shared" si="17"/>
        <v>816.50526776439983</v>
      </c>
      <c r="O43" s="31">
        <f>B9/2</f>
        <v>57.5</v>
      </c>
      <c r="P43" s="31">
        <f>B15</f>
        <v>27.5</v>
      </c>
      <c r="Q43" s="31">
        <f>B11/2</f>
        <v>0</v>
      </c>
    </row>
    <row r="44" spans="1:25">
      <c r="A44" s="6">
        <f>IF(6&lt;(B8+1),6,0)</f>
        <v>6</v>
      </c>
      <c r="B44" s="11">
        <f>IF(A44&lt;1,0,B5)</f>
        <v>55</v>
      </c>
      <c r="C44" s="12">
        <f t="shared" si="18"/>
        <v>32.958306995353993</v>
      </c>
      <c r="D44" s="7">
        <f t="shared" si="13"/>
        <v>267.31795061078481</v>
      </c>
      <c r="E44" s="7">
        <f t="shared" si="14"/>
        <v>13.647344063956179</v>
      </c>
      <c r="F44" s="16">
        <f>(((C44^2)*((ATAN(((C44^2)-(O44^2)+(P44^2))/(4*D44)))+(ACOS(((O44-P44)/C44)))+(ATAN(((O44-P44)/E44))))-((O44^2)*((ATAN((((C44^2)-(O44^2)-(P44^2)))/(4*D44)))+((PI())/2)))+(2*D44)))*B4</f>
        <v>79.605849145346042</v>
      </c>
      <c r="G44" s="17">
        <f t="shared" si="15"/>
        <v>1143342.1874999998</v>
      </c>
      <c r="H44" s="10">
        <f t="shared" si="19"/>
        <v>79.605849145346042</v>
      </c>
      <c r="I44" s="17">
        <f t="shared" si="16"/>
        <v>0</v>
      </c>
      <c r="J44" s="17">
        <f t="shared" si="20"/>
        <v>90</v>
      </c>
      <c r="K44" s="17">
        <f t="shared" si="21"/>
        <v>3.1415926535897931</v>
      </c>
      <c r="L44" s="10">
        <f>IF(B4&gt;1,(((C44^2)/2)*(((K44)-(SIN(K44))))),0)</f>
        <v>0</v>
      </c>
      <c r="M44" s="10">
        <f>IF(C44&lt;Q44,(((C44^2)*PI())-H44)*B9,(((C44^2)*PI())-H44-L44)*B4)</f>
        <v>3332.9491708165669</v>
      </c>
      <c r="N44" s="30">
        <f t="shared" si="17"/>
        <v>957.11972653928569</v>
      </c>
      <c r="O44" s="31">
        <f>B9/2</f>
        <v>57.5</v>
      </c>
      <c r="P44" s="31">
        <f>B15</f>
        <v>27.5</v>
      </c>
      <c r="Q44" s="31">
        <f>B11/2</f>
        <v>0</v>
      </c>
    </row>
    <row r="45" spans="1:25">
      <c r="A45" s="6">
        <f>IF(7&lt;(B8+1),7,0)</f>
        <v>7</v>
      </c>
      <c r="B45" s="11">
        <f>IF(A45&lt;1,0,B5)</f>
        <v>55</v>
      </c>
      <c r="C45" s="12">
        <f t="shared" si="18"/>
        <v>33.78239186321774</v>
      </c>
      <c r="D45" s="7">
        <f t="shared" si="13"/>
        <v>302.87215614636824</v>
      </c>
      <c r="E45" s="7">
        <f t="shared" si="14"/>
        <v>15.532224567009072</v>
      </c>
      <c r="F45" s="16">
        <f>(((C45^2)*((ATAN(((C45^2)-(O45^2)+(P45^2))/(4*D45)))+(ACOS(((O45-P45)/C45)))+(ATAN(((O45-P45)/E45))))-((O45^2)*((ATAN((((C45^2)-(O45^2)-(P45^2)))/(4*D45)))+((PI())/2)))+(2*D45)))*B4</f>
        <v>116.54563674763187</v>
      </c>
      <c r="G45" s="17">
        <f t="shared" si="15"/>
        <v>1467704.6875000009</v>
      </c>
      <c r="H45" s="10">
        <f t="shared" si="19"/>
        <v>116.54563674763187</v>
      </c>
      <c r="I45" s="17">
        <f t="shared" si="16"/>
        <v>0</v>
      </c>
      <c r="J45" s="17">
        <f t="shared" si="20"/>
        <v>90</v>
      </c>
      <c r="K45" s="17">
        <f t="shared" si="21"/>
        <v>3.1415926535897931</v>
      </c>
      <c r="L45" s="10">
        <f>IF(B4&gt;1,(((C45^2)/2)*(((K45)-(SIN(K45))))),0)</f>
        <v>0</v>
      </c>
      <c r="M45" s="10">
        <f>IF(C45&lt;Q45,(((C45^2)*PI())-H45)*B10,(((C45^2)*PI())-H45-L45)*B4)</f>
        <v>3468.7969791617202</v>
      </c>
      <c r="N45" s="30">
        <f t="shared" si="17"/>
        <v>1092.9675348844389</v>
      </c>
      <c r="O45" s="31">
        <f>B9/2</f>
        <v>57.5</v>
      </c>
      <c r="P45" s="31">
        <f>B15</f>
        <v>27.5</v>
      </c>
      <c r="Q45" s="31">
        <f>B11/2</f>
        <v>0</v>
      </c>
    </row>
    <row r="46" spans="1:25">
      <c r="A46" s="6">
        <f>IF(8&lt;(B8+1),8,0)</f>
        <v>8</v>
      </c>
      <c r="B46" s="11">
        <f>IF(A46&lt;1,0,B5)</f>
        <v>55</v>
      </c>
      <c r="C46" s="12">
        <f t="shared" si="18"/>
        <v>34.586847211042524</v>
      </c>
      <c r="D46" s="7">
        <f t="shared" si="13"/>
        <v>334.10488505669895</v>
      </c>
      <c r="E46" s="7">
        <f t="shared" si="14"/>
        <v>17.211914478058507</v>
      </c>
      <c r="F46" s="16">
        <f>(((C46^2)*((ATAN(((C46^2)-(O46^2)+(P46^2))/(4*D46)))+(ACOS(((O46-P46)/C46)))+(ATAN(((O46-P46)/E46))))-((O46^2)*((ATAN((((C46^2)-(O46^2)-(P46^2)))/(4*D46)))+((PI())/2)))+(2*D46)))*B4</f>
        <v>157.54001421247483</v>
      </c>
      <c r="G46" s="17">
        <f t="shared" si="15"/>
        <v>1786017.1875000002</v>
      </c>
      <c r="H46" s="10">
        <f t="shared" si="19"/>
        <v>157.54001421247483</v>
      </c>
      <c r="I46" s="17">
        <f t="shared" si="16"/>
        <v>0</v>
      </c>
      <c r="J46" s="17">
        <f t="shared" si="20"/>
        <v>90</v>
      </c>
      <c r="K46" s="17">
        <f t="shared" si="21"/>
        <v>3.1415926535897931</v>
      </c>
      <c r="L46" s="10">
        <f>IF(B4&gt;1,(((C46^2)/2)*(((K46)-(SIN(K46))))),0)</f>
        <v>0</v>
      </c>
      <c r="M46" s="10">
        <f>IF(C46&lt;Q46,(((C46^2)*PI())-H46)*B11,(((C46^2)*PI())-H46-L46)*B4)</f>
        <v>3600.5901976443151</v>
      </c>
      <c r="N46" s="30">
        <f t="shared" si="17"/>
        <v>1224.7607533670339</v>
      </c>
      <c r="O46" s="31">
        <f>B9/2</f>
        <v>57.5</v>
      </c>
      <c r="P46" s="31">
        <f>B15</f>
        <v>27.5</v>
      </c>
      <c r="Q46" s="31">
        <f>B11/2</f>
        <v>0</v>
      </c>
    </row>
    <row r="47" spans="1:25">
      <c r="A47" s="6">
        <f>IF(9&lt;(B8+1),9,0)</f>
        <v>9</v>
      </c>
      <c r="B47" s="11">
        <f>IF(A47&lt;1,0,B5)</f>
        <v>55</v>
      </c>
      <c r="C47" s="12">
        <f t="shared" si="18"/>
        <v>35.373012311647983</v>
      </c>
      <c r="D47" s="7">
        <f t="shared" si="13"/>
        <v>362.13599720098239</v>
      </c>
      <c r="E47" s="7">
        <f t="shared" si="14"/>
        <v>18.741664813991306</v>
      </c>
      <c r="F47" s="16">
        <f>(((C47^2)*((ATAN(((C47^2)-(O47^2)+(P47^2))/(4*D47)))+(ACOS(((O47-P47)/C47)))+(ATAN(((O47-P47)/E47))))-((O47^2)*((ATAN((((C47^2)-(O47^2)-(P47^2)))/(4*D47)))+((PI())/2)))+(2*D47)))*B4</f>
        <v>202.08864837200485</v>
      </c>
      <c r="G47" s="17">
        <f t="shared" si="15"/>
        <v>2098279.6874999991</v>
      </c>
      <c r="H47" s="10">
        <f t="shared" si="19"/>
        <v>202.08864837200485</v>
      </c>
      <c r="I47" s="17">
        <f t="shared" si="16"/>
        <v>0</v>
      </c>
      <c r="J47" s="17">
        <f t="shared" si="20"/>
        <v>90</v>
      </c>
      <c r="K47" s="17">
        <f t="shared" si="21"/>
        <v>3.1415926535897931</v>
      </c>
      <c r="L47" s="10">
        <f>IF(B4&gt;1,(((C47^2)/2)*(((K47)-(SIN(K47))))),0)</f>
        <v>0</v>
      </c>
      <c r="M47" s="10">
        <f>IF(C47&lt;Q47,(((C47^2)*PI())-H47)*B12,(((C47^2)*PI())-H47-L47)*B4)</f>
        <v>3728.8291594322227</v>
      </c>
      <c r="N47" s="30">
        <f t="shared" si="17"/>
        <v>1352.9997151549414</v>
      </c>
      <c r="O47" s="31">
        <f>B9/2</f>
        <v>57.5</v>
      </c>
      <c r="P47" s="31">
        <f>B15</f>
        <v>27.5</v>
      </c>
      <c r="Q47" s="31">
        <f>B11/2</f>
        <v>0</v>
      </c>
    </row>
    <row r="48" spans="1:25">
      <c r="A48" s="6">
        <f>IF(10&lt;(B8+1),10,0)</f>
        <v>10</v>
      </c>
      <c r="B48" s="11">
        <f>IF(A48&lt;1,0,B5)</f>
        <v>55</v>
      </c>
      <c r="C48" s="12">
        <f t="shared" si="18"/>
        <v>36.142080737002402</v>
      </c>
      <c r="D48" s="7">
        <f t="shared" si="13"/>
        <v>387.66062699060637</v>
      </c>
      <c r="E48" s="7">
        <f t="shared" si="14"/>
        <v>20.155644370746376</v>
      </c>
      <c r="F48" s="16">
        <f>(((C48^2)*((ATAN(((C48^2)-(O48^2)+(P48^2))/(4*D48)))+(ACOS(((O48-P48)/C48)))+(ATAN(((O48-P48)/E48))))-((O48^2)*((ATAN((((C48^2)-(O48^2)-(P48^2)))/(4*D48)))+((PI())/2)))+(2*D48)))*B4</f>
        <v>249.81594284543144</v>
      </c>
      <c r="G48" s="17">
        <f t="shared" si="15"/>
        <v>2404492.1875000009</v>
      </c>
      <c r="H48" s="10">
        <f t="shared" si="19"/>
        <v>249.81594284543144</v>
      </c>
      <c r="I48" s="17">
        <f t="shared" si="16"/>
        <v>0</v>
      </c>
      <c r="J48" s="17">
        <f t="shared" si="20"/>
        <v>90</v>
      </c>
      <c r="K48" s="17">
        <f t="shared" si="21"/>
        <v>3.1415926535897931</v>
      </c>
      <c r="L48" s="10">
        <f>IF(B4&gt;1,(((C48^2)/2)*(((K48)-(SIN(K48))))),0)</f>
        <v>0</v>
      </c>
      <c r="M48" s="10">
        <f>IF(C48&lt;Q48,(((C48^2)*PI())-H48)*B13,(((C48^2)*PI())-H48-L48)*B4)</f>
        <v>3853.8894609062359</v>
      </c>
      <c r="N48" s="30">
        <f t="shared" si="17"/>
        <v>1478.0600166289546</v>
      </c>
      <c r="O48" s="31">
        <f>B9/2</f>
        <v>57.5</v>
      </c>
      <c r="P48" s="31">
        <f>B15</f>
        <v>27.5</v>
      </c>
      <c r="Q48" s="31">
        <f>B11/2</f>
        <v>0</v>
      </c>
    </row>
    <row r="49" spans="1:17">
      <c r="A49" s="6">
        <f>IF(11&lt;(B8+1),11,0)</f>
        <v>11</v>
      </c>
      <c r="B49" s="11">
        <f>IF(A49&lt;1,0,B5)</f>
        <v>55</v>
      </c>
      <c r="C49" s="12">
        <f t="shared" si="18"/>
        <v>36.89512162874653</v>
      </c>
      <c r="D49" s="7">
        <f t="shared" si="13"/>
        <v>411.14585972468433</v>
      </c>
      <c r="E49" s="7">
        <f t="shared" si="14"/>
        <v>21.476731594914529</v>
      </c>
      <c r="F49" s="16">
        <f>(((C49^2)*((ATAN(((C49^2)-(O49^2)+(P49^2))/(4*D49)))+(ACOS(((O49-P49)/C49)))+(ATAN(((O49-P49)/E49))))-((O49^2)*((ATAN((((C49^2)-(O49^2)-(P49^2)))/(4*D49)))+((PI())/2)))+(2*D49)))*B4</f>
        <v>300.42736572875742</v>
      </c>
      <c r="G49" s="17">
        <f t="shared" si="15"/>
        <v>2704654.6874999967</v>
      </c>
      <c r="H49" s="10">
        <f t="shared" si="19"/>
        <v>300.42736572875742</v>
      </c>
      <c r="I49" s="17">
        <f t="shared" si="16"/>
        <v>0</v>
      </c>
      <c r="J49" s="17">
        <f t="shared" si="20"/>
        <v>90</v>
      </c>
      <c r="K49" s="17">
        <f t="shared" si="21"/>
        <v>3.1415926535897931</v>
      </c>
      <c r="L49" s="10">
        <f>IF(B4&gt;1,(((C49^2)/2)*(((K49)-(SIN(K49))))),0)</f>
        <v>0</v>
      </c>
      <c r="M49" s="10">
        <f>IF(C49&lt;Q49,(((C49^2)*PI())-H49)*B14,(((C49^2)*PI())-H49-L49)*B4)</f>
        <v>3976.0656339703482</v>
      </c>
      <c r="N49" s="30">
        <f t="shared" si="17"/>
        <v>1600.236189693067</v>
      </c>
      <c r="O49" s="31">
        <f>B9/2</f>
        <v>57.5</v>
      </c>
      <c r="P49" s="31">
        <f>B15</f>
        <v>27.5</v>
      </c>
      <c r="Q49" s="31">
        <f>B11/2</f>
        <v>0</v>
      </c>
    </row>
    <row r="50" spans="1:17">
      <c r="A50" s="6">
        <f>IF(12&lt;(B8+1),12,0)</f>
        <v>12</v>
      </c>
      <c r="B50" s="11">
        <f>IF(A50&lt;1,0,B5)</f>
        <v>55</v>
      </c>
      <c r="C50" s="12">
        <f t="shared" si="18"/>
        <v>37.633097135367429</v>
      </c>
      <c r="D50" s="7">
        <f t="shared" si="13"/>
        <v>432.9237221714119</v>
      </c>
      <c r="E50" s="7">
        <f t="shared" si="14"/>
        <v>22.72113553500353</v>
      </c>
      <c r="F50" s="16">
        <f>(((C50^2)*((ATAN(((C50^2)-(O50^2)+(P50^2))/(4*D50)))+(ACOS(((O50-P50)/C50)))+(ATAN(((O50-P50)/E50))))-((O50^2)*((ATAN((((C50^2)-(O50^2)-(P50^2)))/(4*D50)))+((PI())/2)))+(2*D50)))*B4</f>
        <v>353.68466087537013</v>
      </c>
      <c r="G50" s="17">
        <f t="shared" si="15"/>
        <v>2998767.1874999977</v>
      </c>
      <c r="H50" s="10">
        <f t="shared" si="19"/>
        <v>353.68466087537013</v>
      </c>
      <c r="I50" s="17">
        <f t="shared" si="16"/>
        <v>0</v>
      </c>
      <c r="J50" s="17">
        <f t="shared" si="20"/>
        <v>90</v>
      </c>
      <c r="K50" s="17">
        <f t="shared" si="21"/>
        <v>3.1415926535897931</v>
      </c>
      <c r="L50" s="10">
        <f>IF(B4&gt;1,(((C50^2)/2)*(((K50)-(SIN(K50))))),0)</f>
        <v>0</v>
      </c>
      <c r="M50" s="10">
        <f>IF(C50&lt;Q50,(((C50^2)*PI())-H50)*B15,(((C50^2)*PI())-H50-L50)*B4)</f>
        <v>4095.5959347711751</v>
      </c>
      <c r="N50" s="30">
        <f t="shared" si="17"/>
        <v>1719.7664904938938</v>
      </c>
      <c r="O50" s="31">
        <f>B9/2</f>
        <v>57.5</v>
      </c>
      <c r="P50" s="31">
        <f>B15</f>
        <v>27.5</v>
      </c>
      <c r="Q50" s="31">
        <f>B11/2</f>
        <v>0</v>
      </c>
    </row>
    <row r="51" spans="1:17">
      <c r="A51" s="6">
        <f>IF(13&lt;(B8+1),13,0)</f>
        <v>13</v>
      </c>
      <c r="B51" s="11">
        <f>IF(A51&lt;1,0,B5)</f>
        <v>55</v>
      </c>
      <c r="C51" s="12">
        <f t="shared" si="18"/>
        <v>38.356876828021335</v>
      </c>
      <c r="D51" s="7">
        <f t="shared" si="13"/>
        <v>453.24039478928864</v>
      </c>
      <c r="E51" s="7">
        <f t="shared" si="14"/>
        <v>23.900836805434242</v>
      </c>
      <c r="F51" s="16">
        <f>(((C51^2)*((ATAN(((C51^2)-(O51^2)+(P51^2))/(4*D51)))+(ACOS(((O51-P51)/C51)))+(ATAN(((O51-P51)/E51))))-((O51^2)*((ATAN((((C51^2)-(O51^2)-(P51^2)))/(4*D51)))+((PI())/2)))+(2*D51)))*B4</f>
        <v>409.39054305148102</v>
      </c>
      <c r="G51" s="17">
        <f t="shared" si="15"/>
        <v>3286829.6875000033</v>
      </c>
      <c r="H51" s="10">
        <f t="shared" si="19"/>
        <v>409.39054305148102</v>
      </c>
      <c r="I51" s="17">
        <f t="shared" si="16"/>
        <v>0</v>
      </c>
      <c r="J51" s="17">
        <f t="shared" si="20"/>
        <v>90</v>
      </c>
      <c r="K51" s="17">
        <f t="shared" si="21"/>
        <v>3.1415926535897931</v>
      </c>
      <c r="L51" s="10">
        <f>IF(B4&gt;1,(((C51^2)/2)*(((K51)-(SIN(K51))))),0)</f>
        <v>0</v>
      </c>
      <c r="M51" s="10">
        <f>IF(C51&lt;Q51,(((C51^2)*PI())-H51)*B16,(((C51^2)*PI())-H51-L51)*B4)</f>
        <v>4212.6776485425016</v>
      </c>
      <c r="N51" s="30">
        <f t="shared" si="17"/>
        <v>1836.8482042652204</v>
      </c>
      <c r="O51" s="31">
        <f>B9/2</f>
        <v>57.5</v>
      </c>
      <c r="P51" s="31">
        <f>B15</f>
        <v>27.5</v>
      </c>
      <c r="Q51" s="31">
        <f>B11/2</f>
        <v>0</v>
      </c>
    </row>
    <row r="52" spans="1:17">
      <c r="A52" s="6">
        <f>IF(14&lt;(B8+1),14,0)</f>
        <v>14</v>
      </c>
      <c r="B52" s="11">
        <f>IF(A52&lt;1,0,B5)</f>
        <v>55</v>
      </c>
      <c r="C52" s="12">
        <f t="shared" si="18"/>
        <v>39.067249711235114</v>
      </c>
      <c r="D52" s="7">
        <f t="shared" si="13"/>
        <v>472.28448706129467</v>
      </c>
      <c r="E52" s="7">
        <f t="shared" si="14"/>
        <v>25.024987512484397</v>
      </c>
      <c r="F52" s="16">
        <f>(((C52^2)*((ATAN(((C52^2)-(O52^2)+(P52^2))/(4*D52)))+(ACOS(((O52-P52)/C52)))+(ATAN(((O52-P52)/E52))))-((O52^2)*((ATAN((((C52^2)-(O52^2)-(P52^2)))/(4*D52)))+((PI())/2)))+(2*D52)))*B4</f>
        <v>467.37864885537613</v>
      </c>
      <c r="G52" s="17">
        <f t="shared" si="15"/>
        <v>3568842.1875000037</v>
      </c>
      <c r="H52" s="10">
        <f t="shared" si="19"/>
        <v>467.37864885537613</v>
      </c>
      <c r="I52" s="17">
        <f t="shared" si="16"/>
        <v>0</v>
      </c>
      <c r="J52" s="17">
        <f t="shared" si="20"/>
        <v>90</v>
      </c>
      <c r="K52" s="17">
        <f t="shared" si="21"/>
        <v>3.1415926535897931</v>
      </c>
      <c r="L52" s="10">
        <f>IF(B4&gt;1,(((C52^2)/2)*(((K52)-(SIN(K52))))),0)</f>
        <v>0</v>
      </c>
      <c r="M52" s="10">
        <f>IF(C52&lt;Q52,(((C52^2)*PI())-H52)*B17,(((C52^2)*PI())-H52-L52)*B4)</f>
        <v>4327.4771386860457</v>
      </c>
      <c r="N52" s="30">
        <f t="shared" si="17"/>
        <v>1951.6476944087644</v>
      </c>
      <c r="O52" s="31">
        <f>B9/2</f>
        <v>57.5</v>
      </c>
      <c r="P52" s="31">
        <f>B15</f>
        <v>27.5</v>
      </c>
      <c r="Q52" s="31">
        <f>B11/2</f>
        <v>0</v>
      </c>
    </row>
    <row r="53" spans="1:17">
      <c r="A53" s="6">
        <f>IF(15&lt;(B8+1),15,0)</f>
        <v>15</v>
      </c>
      <c r="B53" s="11">
        <f>IF(A53&lt;1,0,B5)</f>
        <v>55</v>
      </c>
      <c r="C53" s="12">
        <f t="shared" si="18"/>
        <v>39.764934301467171</v>
      </c>
      <c r="D53" s="7">
        <f t="shared" si="13"/>
        <v>490.2043379742272</v>
      </c>
      <c r="E53" s="7">
        <f t="shared" si="14"/>
        <v>26.100766272276385</v>
      </c>
      <c r="F53" s="16">
        <f>(((C53^2)*((ATAN(((C53^2)-(O53^2)+(P53^2))/(4*D53)))+(ACOS(((O53-P53)/C53)))+(ATAN(((O53-P53)/E53))))-((O53^2)*((ATAN((((C53^2)-(O53^2)-(P53^2)))/(4*D53)))+((PI())/2)))+(2*D53)))*B4</f>
        <v>527.50662058265539</v>
      </c>
      <c r="G53" s="17">
        <f t="shared" si="15"/>
        <v>3844804.6875000061</v>
      </c>
      <c r="H53" s="10">
        <f t="shared" si="19"/>
        <v>527.50662058265539</v>
      </c>
      <c r="I53" s="17">
        <f t="shared" si="16"/>
        <v>0</v>
      </c>
      <c r="J53" s="17">
        <f t="shared" si="20"/>
        <v>90</v>
      </c>
      <c r="K53" s="17">
        <f t="shared" si="21"/>
        <v>3.1415926535897931</v>
      </c>
      <c r="L53" s="10">
        <f>IF(B4&gt;1,(((C53^2)/2)*(((K53)-(SIN(K53))))),0)</f>
        <v>0</v>
      </c>
      <c r="M53" s="10">
        <f>IF(C53&lt;Q53,(((C53^2)*PI())-H53)*B18,(((C53^2)*PI())-H53-L53)*B4)</f>
        <v>4440.136762906207</v>
      </c>
      <c r="N53" s="30">
        <f t="shared" si="17"/>
        <v>2064.3073186289257</v>
      </c>
      <c r="O53" s="31">
        <f>B9/2</f>
        <v>57.5</v>
      </c>
      <c r="P53" s="31">
        <f>B15</f>
        <v>27.5</v>
      </c>
      <c r="Q53" s="31">
        <f>B11/2</f>
        <v>0</v>
      </c>
    </row>
    <row r="54" spans="1:17">
      <c r="A54" s="6">
        <f>IF(16&lt;(B8+1),16,0)</f>
        <v>16</v>
      </c>
      <c r="B54" s="11">
        <v>55</v>
      </c>
      <c r="C54" s="12">
        <f t="shared" si="18"/>
        <v>40.450587140361762</v>
      </c>
      <c r="D54" s="7">
        <f t="shared" si="13"/>
        <v>507.11914203542949</v>
      </c>
      <c r="E54" s="7">
        <f t="shared" si="14"/>
        <v>27.133927102430278</v>
      </c>
      <c r="F54" s="16">
        <f>(((C54^2)*((ATAN(((C54^2)-(O54^2)+(P54^2))/(4*D54)))+(ACOS(((O54-P54)/C54)))+(ATAN(((O54-P54)/E54))))-((O54^2)*((ATAN((((C54^2)-(O54^2)-(P54^2)))/(4*D54)))+((PI())/2)))+(2*D54)))*B4</f>
        <v>589.65116591931564</v>
      </c>
      <c r="G54" s="17">
        <f t="shared" si="15"/>
        <v>4114717.1875000019</v>
      </c>
      <c r="H54" s="10">
        <f t="shared" si="19"/>
        <v>589.65116591931564</v>
      </c>
      <c r="I54" s="17">
        <f t="shared" si="16"/>
        <v>0</v>
      </c>
      <c r="J54" s="17">
        <f t="shared" si="20"/>
        <v>90</v>
      </c>
      <c r="K54" s="17">
        <f t="shared" si="21"/>
        <v>3.1415926535897931</v>
      </c>
      <c r="L54" s="10">
        <f>IF(B4&gt;1,(((C54^2)/2)*(((K54)-(SIN(K54))))),0)</f>
        <v>0</v>
      </c>
      <c r="M54" s="10">
        <f>IF(C54&lt;Q54,(((C54^2)*PI())-H54)*B19,(((C54^2)*PI())-H54-L54)*B4)</f>
        <v>4550.7798135169842</v>
      </c>
      <c r="N54" s="30">
        <f t="shared" si="17"/>
        <v>2174.9503692397029</v>
      </c>
      <c r="O54" s="31">
        <f>B9/2</f>
        <v>57.5</v>
      </c>
      <c r="P54" s="31">
        <f>B15</f>
        <v>27.5</v>
      </c>
      <c r="Q54" s="31">
        <f>B11/2</f>
        <v>0</v>
      </c>
    </row>
    <row r="55" spans="1:17">
      <c r="A55" s="6">
        <f>IF(17&lt;(B8+1),17,0)</f>
        <v>0</v>
      </c>
      <c r="B55" s="11">
        <f>IF(A55&lt;1,0,B5)</f>
        <v>0</v>
      </c>
      <c r="C55" s="12">
        <f t="shared" si="18"/>
        <v>0</v>
      </c>
      <c r="D55" s="7" t="e">
        <f t="shared" si="13"/>
        <v>#NUM!</v>
      </c>
      <c r="E55" s="7" t="e">
        <f t="shared" si="14"/>
        <v>#NUM!</v>
      </c>
      <c r="F55" s="16" t="e">
        <f>(((C55^2)*((ATAN(((C55^2)-(O55^2)+(P55^2))/(4*D55)))+(ACOS(((O55-P55)/C55)))+(ATAN(((O55-P55)/E55))))-((O55^2)*((ATAN((((C55^2)-(O55^2)-(P55^2)))/(4*D55)))+((PI())/2)))+(2*D55)))*B4</f>
        <v>#NUM!</v>
      </c>
      <c r="G55" s="17">
        <f t="shared" si="15"/>
        <v>-6502500</v>
      </c>
      <c r="H55" s="10">
        <f t="shared" si="19"/>
        <v>0</v>
      </c>
      <c r="I55" s="17">
        <f t="shared" si="16"/>
        <v>0</v>
      </c>
      <c r="J55" s="17">
        <f t="shared" si="20"/>
        <v>90</v>
      </c>
      <c r="K55" s="17">
        <f t="shared" si="21"/>
        <v>3.1415926535897931</v>
      </c>
      <c r="L55" s="10">
        <f>IF(B4&gt;1,(((C55^2)/2)*(((K55)-(SIN(K55))))),0)</f>
        <v>0</v>
      </c>
      <c r="M55" s="10">
        <f>IF(C55&lt;Q55,(((C55^2)*PI())-H55)*B20,(((C55^2)*PI())-H55-L55)*B4)</f>
        <v>0</v>
      </c>
      <c r="N55" s="30">
        <f t="shared" si="17"/>
        <v>0</v>
      </c>
      <c r="O55" s="31">
        <f>B9/2</f>
        <v>57.5</v>
      </c>
      <c r="P55" s="31">
        <f>B15</f>
        <v>27.5</v>
      </c>
      <c r="Q55" s="31">
        <f>B11/2</f>
        <v>0</v>
      </c>
    </row>
    <row r="56" spans="1:17">
      <c r="A56" s="6">
        <f>IF(18&lt;(B8+1),18,0)</f>
        <v>0</v>
      </c>
      <c r="B56" s="11">
        <f>IF(A56&lt;1,0,B5)</f>
        <v>0</v>
      </c>
      <c r="C56" s="12">
        <f t="shared" si="18"/>
        <v>0</v>
      </c>
      <c r="D56" s="7" t="e">
        <f t="shared" si="13"/>
        <v>#NUM!</v>
      </c>
      <c r="E56" s="7" t="e">
        <f t="shared" si="14"/>
        <v>#NUM!</v>
      </c>
      <c r="F56" s="16" t="e">
        <f>(((C56^2)*((ATAN(((C56^2)-(O56^2)+(P56^2))/(4*D56)))+(ACOS(((O56-P56)/C56)))+(ATAN(((O56-P56)/E56))))-((O56^2)*((ATAN((((C56^2)-(O56^2)-(P56^2)))/(4*D56)))+((PI())/2)))+(2*D56)))*B4</f>
        <v>#NUM!</v>
      </c>
      <c r="G56" s="17">
        <f t="shared" si="15"/>
        <v>-6502500</v>
      </c>
      <c r="H56" s="10">
        <f t="shared" si="19"/>
        <v>0</v>
      </c>
      <c r="I56" s="17">
        <f t="shared" si="16"/>
        <v>0</v>
      </c>
      <c r="J56" s="17">
        <f t="shared" si="20"/>
        <v>90</v>
      </c>
      <c r="K56" s="17">
        <f t="shared" si="21"/>
        <v>3.1415926535897931</v>
      </c>
      <c r="L56" s="10">
        <f>IF(B4&gt;1,(((C56^2)/2)*(((K56)-(SIN(K56))))),0)</f>
        <v>0</v>
      </c>
      <c r="M56" s="10">
        <f>IF(C56&lt;Q56,(((C56^2)*PI())-H56)*B21,(((C56^2)*PI())-H56-L56)*B4)</f>
        <v>0</v>
      </c>
      <c r="N56" s="30">
        <f t="shared" si="17"/>
        <v>0</v>
      </c>
      <c r="O56" s="31">
        <f>B9/2</f>
        <v>57.5</v>
      </c>
      <c r="P56" s="31">
        <f>B15</f>
        <v>27.5</v>
      </c>
      <c r="Q56" s="31">
        <f>B11/2</f>
        <v>0</v>
      </c>
    </row>
    <row r="57" spans="1:17">
      <c r="A57" s="6">
        <f>IF(19&lt;(B8+1),19,0)</f>
        <v>0</v>
      </c>
      <c r="B57" s="11">
        <f>IF(A57&lt;1,0,B5)</f>
        <v>0</v>
      </c>
      <c r="C57" s="12">
        <f t="shared" si="18"/>
        <v>0</v>
      </c>
      <c r="D57" s="7" t="e">
        <f t="shared" si="13"/>
        <v>#NUM!</v>
      </c>
      <c r="E57" s="7" t="e">
        <f t="shared" si="14"/>
        <v>#NUM!</v>
      </c>
      <c r="F57" s="16" t="e">
        <f>(((C57^2)*((ATAN(((C57^2)-(O57^2)+(P57^2))/(4*D57)))+(ACOS(((O57-P57)/C57)))+(ATAN(((O57-P57)/E57))))-((O57^2)*((ATAN((((C57^2)-(O57^2)-(P57^2)))/(4*D57)))+((PI())/2)))+(2*D57)))*B4</f>
        <v>#NUM!</v>
      </c>
      <c r="G57" s="17">
        <f t="shared" si="15"/>
        <v>-6502500</v>
      </c>
      <c r="H57" s="10">
        <f t="shared" si="19"/>
        <v>0</v>
      </c>
      <c r="I57" s="17">
        <f t="shared" si="16"/>
        <v>0</v>
      </c>
      <c r="J57" s="17">
        <f t="shared" si="20"/>
        <v>90</v>
      </c>
      <c r="K57" s="17">
        <f t="shared" si="21"/>
        <v>3.1415926535897931</v>
      </c>
      <c r="L57" s="10">
        <f>IF(B4&gt;1,(((C57^2)/2)*(((K57)-(SIN(K57))))),0)</f>
        <v>0</v>
      </c>
      <c r="M57" s="10">
        <f>IF(C57&lt;Q57,(((C57^2)*PI())-H57)*B22,(((C57^2)*PI())-H57-L57)*B4)</f>
        <v>0</v>
      </c>
      <c r="N57" s="30">
        <f t="shared" si="17"/>
        <v>0</v>
      </c>
      <c r="O57" s="31">
        <f>B9/2</f>
        <v>57.5</v>
      </c>
      <c r="P57" s="31">
        <f>B15</f>
        <v>27.5</v>
      </c>
      <c r="Q57" s="31">
        <f>B11/2</f>
        <v>0</v>
      </c>
    </row>
    <row r="58" spans="1:17">
      <c r="A58" s="6">
        <f>IF(20&lt;(B8+1),20,0)</f>
        <v>0</v>
      </c>
      <c r="B58" s="11">
        <f>IF(A58&lt;1,0,B5)</f>
        <v>0</v>
      </c>
      <c r="C58" s="12">
        <f t="shared" si="18"/>
        <v>0</v>
      </c>
      <c r="D58" s="7" t="e">
        <f t="shared" si="13"/>
        <v>#NUM!</v>
      </c>
      <c r="E58" s="7" t="e">
        <f t="shared" si="14"/>
        <v>#NUM!</v>
      </c>
      <c r="F58" s="16" t="e">
        <f>(((C58^2)*((ATAN(((C58^2)-(O58^2)+(P58^2))/(4*D58)))+(ACOS(((O58-P58)/C58)))+(ATAN(((O58-P58)/E58))))-((O58^2)*((ATAN((((C58^2)-(O58^2)-(P58^2)))/(4*D58)))+((PI())/2)))+(2*D58)))*B4</f>
        <v>#NUM!</v>
      </c>
      <c r="G58" s="17">
        <f t="shared" si="15"/>
        <v>-6502500</v>
      </c>
      <c r="H58" s="10">
        <f t="shared" si="19"/>
        <v>0</v>
      </c>
      <c r="I58" s="17">
        <f t="shared" si="16"/>
        <v>0</v>
      </c>
      <c r="J58" s="17">
        <f t="shared" si="20"/>
        <v>90</v>
      </c>
      <c r="K58" s="17">
        <f t="shared" si="21"/>
        <v>3.1415926535897931</v>
      </c>
      <c r="L58" s="10">
        <f>IF(B4&gt;1,(((C58^2)/2)*(((K58)-(SIN(K58))))),0)</f>
        <v>0</v>
      </c>
      <c r="M58" s="10">
        <f>IF(C58&lt;Q58,(((C58^2)*PI())-H58)*B23,(((C58^2)*PI())-H58-L58)*B4)</f>
        <v>0</v>
      </c>
      <c r="N58" s="30">
        <f t="shared" si="17"/>
        <v>0</v>
      </c>
      <c r="O58" s="31">
        <f>B9/2</f>
        <v>57.5</v>
      </c>
      <c r="P58" s="31">
        <f>B15</f>
        <v>27.5</v>
      </c>
      <c r="Q58" s="31">
        <f>B11/2</f>
        <v>0</v>
      </c>
    </row>
  </sheetData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M29" sqref="M2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</vt:lpstr>
      <vt:lpstr>Calculations and assumptions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garaget</dc:creator>
  <cp:lastModifiedBy>garaget</cp:lastModifiedBy>
  <dcterms:created xsi:type="dcterms:W3CDTF">2010-12-22T21:20:17Z</dcterms:created>
  <dcterms:modified xsi:type="dcterms:W3CDTF">2011-07-25T21:52:17Z</dcterms:modified>
</cp:coreProperties>
</file>